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ard\Documents\Kappa Sigma\"/>
    </mc:Choice>
  </mc:AlternateContent>
  <bookViews>
    <workbookView xWindow="-15" yWindow="-15" windowWidth="15330" windowHeight="4665" activeTab="1"/>
  </bookViews>
  <sheets>
    <sheet name="League Records" sheetId="8" r:id="rId1"/>
    <sheet name="League" sheetId="1" r:id="rId2"/>
    <sheet name="2015" sheetId="16" r:id="rId3"/>
    <sheet name="2014" sheetId="15" r:id="rId4"/>
    <sheet name="2013" sheetId="14" r:id="rId5"/>
    <sheet name="2012" sheetId="13" r:id="rId6"/>
    <sheet name="2011" sheetId="12" r:id="rId7"/>
    <sheet name="2010" sheetId="11" r:id="rId8"/>
    <sheet name="2009" sheetId="10" r:id="rId9"/>
    <sheet name="2008" sheetId="9" r:id="rId10"/>
    <sheet name="2007" sheetId="2" r:id="rId11"/>
    <sheet name="2006" sheetId="3" r:id="rId12"/>
    <sheet name="2005" sheetId="7" r:id="rId13"/>
    <sheet name="2004" sheetId="6" r:id="rId14"/>
    <sheet name="2003" sheetId="5" r:id="rId15"/>
    <sheet name="2002" sheetId="4" r:id="rId16"/>
  </sheets>
  <calcPr calcId="152511"/>
</workbook>
</file>

<file path=xl/calcChain.xml><?xml version="1.0" encoding="utf-8"?>
<calcChain xmlns="http://schemas.openxmlformats.org/spreadsheetml/2006/main">
  <c r="N9" i="16" l="1"/>
  <c r="N3" i="16"/>
  <c r="N11" i="16"/>
  <c r="N10" i="16"/>
  <c r="N8" i="16"/>
  <c r="N5" i="16"/>
  <c r="N4" i="16"/>
  <c r="N2" i="16"/>
  <c r="N13" i="16" l="1"/>
  <c r="N12" i="16"/>
  <c r="N7" i="16"/>
  <c r="N6" i="16"/>
  <c r="M12" i="16"/>
  <c r="M9" i="16"/>
  <c r="M13" i="16"/>
  <c r="M8" i="16"/>
  <c r="M11" i="16"/>
  <c r="M10" i="16"/>
  <c r="M7" i="16"/>
  <c r="M5" i="16"/>
  <c r="M6" i="16"/>
  <c r="M2" i="16"/>
  <c r="M4" i="16"/>
  <c r="M3" i="16"/>
  <c r="F34" i="1" l="1"/>
  <c r="G34" i="1"/>
  <c r="D8" i="16" l="1"/>
  <c r="D11" i="16"/>
  <c r="D4" i="16"/>
  <c r="D10" i="16"/>
  <c r="D6" i="16"/>
  <c r="J22" i="1" l="1"/>
  <c r="K22" i="1"/>
  <c r="L22" i="1"/>
  <c r="M22" i="1"/>
  <c r="P22" i="1"/>
  <c r="Q22" i="1"/>
  <c r="S22" i="1"/>
  <c r="T22" i="1"/>
  <c r="V22" i="1"/>
  <c r="W22" i="1"/>
  <c r="AC22" i="1"/>
  <c r="AD22" i="1"/>
  <c r="AE22" i="1"/>
  <c r="AF22" i="1"/>
  <c r="AG22" i="1"/>
  <c r="AH22" i="1"/>
  <c r="J27" i="1"/>
  <c r="K27" i="1"/>
  <c r="L27" i="1"/>
  <c r="M27" i="1"/>
  <c r="P27" i="1"/>
  <c r="Q27" i="1"/>
  <c r="S27" i="1"/>
  <c r="T27" i="1"/>
  <c r="V27" i="1"/>
  <c r="W27" i="1"/>
  <c r="AC27" i="1"/>
  <c r="AD27" i="1"/>
  <c r="AE27" i="1"/>
  <c r="AF27" i="1"/>
  <c r="AG27" i="1"/>
  <c r="AH27" i="1"/>
  <c r="AH25" i="1"/>
  <c r="AG25" i="1"/>
  <c r="AF25" i="1"/>
  <c r="AE25" i="1"/>
  <c r="AD25" i="1"/>
  <c r="AC25" i="1"/>
  <c r="W25" i="1"/>
  <c r="V25" i="1"/>
  <c r="T25" i="1"/>
  <c r="S25" i="1"/>
  <c r="Q25" i="1"/>
  <c r="P25" i="1"/>
  <c r="M25" i="1"/>
  <c r="L25" i="1"/>
  <c r="K25" i="1"/>
  <c r="J25" i="1"/>
  <c r="D5" i="16"/>
  <c r="F25" i="1" s="1"/>
  <c r="E5" i="16"/>
  <c r="G25" i="1" s="1"/>
  <c r="L5" i="16"/>
  <c r="AB25" i="1" s="1"/>
  <c r="D2" i="16"/>
  <c r="F22" i="1" s="1"/>
  <c r="E2" i="16"/>
  <c r="G22" i="1" s="1"/>
  <c r="L2" i="16"/>
  <c r="AA22" i="1" s="1"/>
  <c r="F27" i="1"/>
  <c r="E8" i="16"/>
  <c r="G27" i="1" s="1"/>
  <c r="L8" i="16"/>
  <c r="U27" i="1" s="1"/>
  <c r="AL27" i="1"/>
  <c r="AK27" i="1"/>
  <c r="AL22" i="1"/>
  <c r="AK22" i="1"/>
  <c r="AL25" i="1"/>
  <c r="AK25" i="1"/>
  <c r="AH18" i="1"/>
  <c r="AG18" i="1"/>
  <c r="AF18" i="1"/>
  <c r="AE18" i="1"/>
  <c r="AD18" i="1"/>
  <c r="AC18" i="1"/>
  <c r="W18" i="1"/>
  <c r="V18" i="1"/>
  <c r="T18" i="1"/>
  <c r="S18" i="1"/>
  <c r="Q18" i="1"/>
  <c r="P18" i="1"/>
  <c r="M18" i="1"/>
  <c r="L18" i="1"/>
  <c r="K18" i="1"/>
  <c r="J18" i="1"/>
  <c r="AH16" i="1"/>
  <c r="AG16" i="1"/>
  <c r="AF16" i="1"/>
  <c r="AE16" i="1"/>
  <c r="AD16" i="1"/>
  <c r="AC16" i="1"/>
  <c r="W16" i="1"/>
  <c r="V16" i="1"/>
  <c r="T16" i="1"/>
  <c r="S16" i="1"/>
  <c r="Q16" i="1"/>
  <c r="P16" i="1"/>
  <c r="M16" i="1"/>
  <c r="L16" i="1"/>
  <c r="K16" i="1"/>
  <c r="J16" i="1"/>
  <c r="AH11" i="1"/>
  <c r="AG11" i="1"/>
  <c r="AF11" i="1"/>
  <c r="AE11" i="1"/>
  <c r="AD11" i="1"/>
  <c r="AC11" i="1"/>
  <c r="W11" i="1"/>
  <c r="V11" i="1"/>
  <c r="T11" i="1"/>
  <c r="S11" i="1"/>
  <c r="Q11" i="1"/>
  <c r="P11" i="1"/>
  <c r="M11" i="1"/>
  <c r="L11" i="1"/>
  <c r="K11" i="1"/>
  <c r="J11" i="1"/>
  <c r="AH12" i="1"/>
  <c r="AG12" i="1"/>
  <c r="AF12" i="1"/>
  <c r="AE12" i="1"/>
  <c r="AD12" i="1"/>
  <c r="AC12" i="1"/>
  <c r="W12" i="1"/>
  <c r="V12" i="1"/>
  <c r="T12" i="1"/>
  <c r="S12" i="1"/>
  <c r="Q12" i="1"/>
  <c r="P12" i="1"/>
  <c r="M12" i="1"/>
  <c r="L12" i="1"/>
  <c r="K12" i="1"/>
  <c r="J12" i="1"/>
  <c r="AH8" i="1"/>
  <c r="AG8" i="1"/>
  <c r="AF8" i="1"/>
  <c r="AE8" i="1"/>
  <c r="AD8" i="1"/>
  <c r="AC8" i="1"/>
  <c r="W8" i="1"/>
  <c r="V8" i="1"/>
  <c r="T8" i="1"/>
  <c r="S8" i="1"/>
  <c r="Q8" i="1"/>
  <c r="P8" i="1"/>
  <c r="M8" i="1"/>
  <c r="L8" i="1"/>
  <c r="K8" i="1"/>
  <c r="J8" i="1"/>
  <c r="AH7" i="1"/>
  <c r="AG7" i="1"/>
  <c r="AF7" i="1"/>
  <c r="AE7" i="1"/>
  <c r="AD7" i="1"/>
  <c r="AC7" i="1"/>
  <c r="W7" i="1"/>
  <c r="V7" i="1"/>
  <c r="T7" i="1"/>
  <c r="S7" i="1"/>
  <c r="Q7" i="1"/>
  <c r="P7" i="1"/>
  <c r="M7" i="1"/>
  <c r="L7" i="1"/>
  <c r="K7" i="1"/>
  <c r="J7" i="1"/>
  <c r="AH5" i="1"/>
  <c r="AG5" i="1"/>
  <c r="AF5" i="1"/>
  <c r="AE5" i="1"/>
  <c r="AD5" i="1"/>
  <c r="AC5" i="1"/>
  <c r="W5" i="1"/>
  <c r="V5" i="1"/>
  <c r="T5" i="1"/>
  <c r="S5" i="1"/>
  <c r="Q5" i="1"/>
  <c r="P5" i="1"/>
  <c r="M5" i="1"/>
  <c r="L5" i="1"/>
  <c r="K5" i="1"/>
  <c r="J5" i="1"/>
  <c r="AH4" i="1"/>
  <c r="AG4" i="1"/>
  <c r="AF4" i="1"/>
  <c r="AE4" i="1"/>
  <c r="AD4" i="1"/>
  <c r="AC4" i="1"/>
  <c r="W4" i="1"/>
  <c r="V4" i="1"/>
  <c r="T4" i="1"/>
  <c r="S4" i="1"/>
  <c r="Q4" i="1"/>
  <c r="P4" i="1"/>
  <c r="M4" i="1"/>
  <c r="L4" i="1"/>
  <c r="K4" i="1"/>
  <c r="J4" i="1"/>
  <c r="AH3" i="1"/>
  <c r="AG3" i="1"/>
  <c r="AF3" i="1"/>
  <c r="AE3" i="1"/>
  <c r="AD3" i="1"/>
  <c r="AC3" i="1"/>
  <c r="W3" i="1"/>
  <c r="V3" i="1"/>
  <c r="T3" i="1"/>
  <c r="S3" i="1"/>
  <c r="Q3" i="1"/>
  <c r="P3" i="1"/>
  <c r="M3" i="1"/>
  <c r="L3" i="1"/>
  <c r="K3" i="1"/>
  <c r="J3" i="1"/>
  <c r="L6" i="16"/>
  <c r="AB8" i="1" s="1"/>
  <c r="E6" i="16"/>
  <c r="G8" i="1" s="1"/>
  <c r="F8" i="1"/>
  <c r="L4" i="16"/>
  <c r="U11" i="1" s="1"/>
  <c r="E4" i="16"/>
  <c r="G11" i="1" s="1"/>
  <c r="F11" i="1"/>
  <c r="L7" i="16"/>
  <c r="AB16" i="1" s="1"/>
  <c r="E7" i="16"/>
  <c r="G16" i="1" s="1"/>
  <c r="D7" i="16"/>
  <c r="F16" i="1" s="1"/>
  <c r="L12" i="16"/>
  <c r="U5" i="1" s="1"/>
  <c r="E12" i="16"/>
  <c r="G5" i="1" s="1"/>
  <c r="D12" i="16"/>
  <c r="F5" i="1" s="1"/>
  <c r="L9" i="16"/>
  <c r="AB7" i="1" s="1"/>
  <c r="E9" i="16"/>
  <c r="G7" i="1" s="1"/>
  <c r="D9" i="16"/>
  <c r="F7" i="1" s="1"/>
  <c r="L13" i="16"/>
  <c r="AB12" i="1" s="1"/>
  <c r="E13" i="16"/>
  <c r="G12" i="1" s="1"/>
  <c r="D13" i="16"/>
  <c r="F12" i="1" s="1"/>
  <c r="L10" i="16"/>
  <c r="AB3" i="1" s="1"/>
  <c r="E10" i="16"/>
  <c r="G3" i="1" s="1"/>
  <c r="F3" i="1"/>
  <c r="L3" i="16"/>
  <c r="AB18" i="1" s="1"/>
  <c r="E3" i="16"/>
  <c r="G18" i="1" s="1"/>
  <c r="D3" i="16"/>
  <c r="F18" i="1" s="1"/>
  <c r="L11" i="16"/>
  <c r="AB4" i="1" s="1"/>
  <c r="E11" i="16"/>
  <c r="G4" i="1" s="1"/>
  <c r="F4" i="1"/>
  <c r="N8" i="15"/>
  <c r="D5" i="8"/>
  <c r="C5" i="8"/>
  <c r="N10" i="15"/>
  <c r="N11" i="15"/>
  <c r="N2" i="15"/>
  <c r="N5" i="15"/>
  <c r="N4" i="15"/>
  <c r="AH35" i="1"/>
  <c r="AG35" i="1"/>
  <c r="AF35" i="1"/>
  <c r="AE35" i="1"/>
  <c r="W35" i="1"/>
  <c r="T35" i="1"/>
  <c r="S35" i="1"/>
  <c r="Q35" i="1"/>
  <c r="P35" i="1"/>
  <c r="M35" i="1"/>
  <c r="L35" i="1"/>
  <c r="K35" i="1"/>
  <c r="J35" i="1"/>
  <c r="N9" i="15"/>
  <c r="W34" i="1" s="1"/>
  <c r="N3" i="15"/>
  <c r="N6" i="15"/>
  <c r="N7" i="15"/>
  <c r="M9" i="15"/>
  <c r="AD34" i="1" s="1"/>
  <c r="M8" i="15"/>
  <c r="M4" i="15"/>
  <c r="M10" i="15"/>
  <c r="M11" i="15"/>
  <c r="M5" i="15"/>
  <c r="M2" i="15"/>
  <c r="M7" i="15"/>
  <c r="M6" i="15"/>
  <c r="M3" i="15"/>
  <c r="J34" i="1"/>
  <c r="K34" i="1"/>
  <c r="L34" i="1"/>
  <c r="M34" i="1"/>
  <c r="P34" i="1"/>
  <c r="Q34" i="1"/>
  <c r="S34" i="1"/>
  <c r="R34" i="1" s="1"/>
  <c r="T34" i="1"/>
  <c r="AE34" i="1"/>
  <c r="AF34" i="1"/>
  <c r="AG34" i="1"/>
  <c r="AH34" i="1"/>
  <c r="AK34" i="1"/>
  <c r="AL34" i="1"/>
  <c r="AL18" i="1"/>
  <c r="AK18" i="1"/>
  <c r="E10" i="15"/>
  <c r="D10" i="15"/>
  <c r="E9" i="15"/>
  <c r="D9" i="15"/>
  <c r="E5" i="15"/>
  <c r="D5" i="15"/>
  <c r="E3" i="15"/>
  <c r="D3" i="15"/>
  <c r="E8" i="15"/>
  <c r="D8" i="15"/>
  <c r="E11" i="15"/>
  <c r="D11" i="15"/>
  <c r="E7" i="15"/>
  <c r="D7" i="15"/>
  <c r="E6" i="15"/>
  <c r="D6" i="15"/>
  <c r="E2" i="15"/>
  <c r="D2" i="15"/>
  <c r="E4" i="15"/>
  <c r="D4" i="15"/>
  <c r="N11" i="14"/>
  <c r="N9" i="14"/>
  <c r="N10" i="14"/>
  <c r="N8" i="14"/>
  <c r="N7" i="14"/>
  <c r="N6" i="14"/>
  <c r="N5" i="14"/>
  <c r="N4" i="14"/>
  <c r="N3" i="14"/>
  <c r="N2" i="14"/>
  <c r="M10" i="14"/>
  <c r="M11" i="14"/>
  <c r="M8" i="14"/>
  <c r="M9" i="14"/>
  <c r="M3" i="14"/>
  <c r="M4" i="14"/>
  <c r="M7" i="14"/>
  <c r="M6" i="14"/>
  <c r="M2" i="14"/>
  <c r="M5" i="14"/>
  <c r="AH9" i="1"/>
  <c r="AG9" i="1"/>
  <c r="AF9" i="1"/>
  <c r="AE9" i="1"/>
  <c r="T9" i="1"/>
  <c r="S9" i="1"/>
  <c r="Q9" i="1"/>
  <c r="P9" i="1"/>
  <c r="M9" i="1"/>
  <c r="L9" i="1"/>
  <c r="K9" i="1"/>
  <c r="J9" i="1"/>
  <c r="AH6" i="1"/>
  <c r="AG6" i="1"/>
  <c r="AF6" i="1"/>
  <c r="AE6" i="1"/>
  <c r="T6" i="1"/>
  <c r="S6" i="1"/>
  <c r="Q6" i="1"/>
  <c r="P6" i="1"/>
  <c r="M6" i="1"/>
  <c r="L6" i="1"/>
  <c r="K6" i="1"/>
  <c r="J6" i="1"/>
  <c r="AL16" i="1"/>
  <c r="AK16" i="1"/>
  <c r="E7" i="14"/>
  <c r="D7" i="14"/>
  <c r="E10" i="14"/>
  <c r="D10" i="14"/>
  <c r="F9" i="1" s="1"/>
  <c r="E8" i="14"/>
  <c r="D8" i="14"/>
  <c r="E5" i="14"/>
  <c r="D5" i="14"/>
  <c r="E4" i="14"/>
  <c r="D4" i="14"/>
  <c r="E2" i="14"/>
  <c r="D2" i="14"/>
  <c r="E11" i="14"/>
  <c r="D11" i="14"/>
  <c r="E9" i="14"/>
  <c r="D9" i="14"/>
  <c r="E6" i="14"/>
  <c r="D6" i="14"/>
  <c r="E3" i="14"/>
  <c r="D3" i="14"/>
  <c r="N9" i="13"/>
  <c r="N8" i="13"/>
  <c r="N7" i="13"/>
  <c r="N6" i="13"/>
  <c r="N5" i="13"/>
  <c r="N3" i="13"/>
  <c r="N4" i="13"/>
  <c r="N2" i="13"/>
  <c r="M6" i="13"/>
  <c r="M9" i="13"/>
  <c r="M10" i="13"/>
  <c r="V31" i="1" s="1"/>
  <c r="M11" i="13"/>
  <c r="M4" i="13"/>
  <c r="M8" i="13"/>
  <c r="M2" i="13"/>
  <c r="M3" i="13"/>
  <c r="M7" i="13"/>
  <c r="M5" i="13"/>
  <c r="L13" i="1"/>
  <c r="AH17" i="1"/>
  <c r="AG17" i="1"/>
  <c r="AF17" i="1"/>
  <c r="AE17" i="1"/>
  <c r="T17" i="1"/>
  <c r="S17" i="1"/>
  <c r="Q17" i="1"/>
  <c r="P17" i="1"/>
  <c r="M17" i="1"/>
  <c r="L17" i="1"/>
  <c r="K17" i="1"/>
  <c r="J17" i="1"/>
  <c r="AH31" i="1"/>
  <c r="AG31" i="1"/>
  <c r="AF31" i="1"/>
  <c r="AE31" i="1"/>
  <c r="T31" i="1"/>
  <c r="S31" i="1"/>
  <c r="Q31" i="1"/>
  <c r="P31" i="1"/>
  <c r="M31" i="1"/>
  <c r="L31" i="1"/>
  <c r="K31" i="1"/>
  <c r="J31" i="1"/>
  <c r="AL31" i="1"/>
  <c r="AK31" i="1"/>
  <c r="J13" i="1"/>
  <c r="J32" i="1"/>
  <c r="K32" i="1"/>
  <c r="K13" i="1"/>
  <c r="D10" i="13"/>
  <c r="F31" i="1" s="1"/>
  <c r="E10" i="13"/>
  <c r="G31" i="1" s="1"/>
  <c r="W31" i="1"/>
  <c r="D4" i="13"/>
  <c r="E4" i="13"/>
  <c r="D11" i="13"/>
  <c r="E11" i="13"/>
  <c r="W17" i="1"/>
  <c r="K10" i="1"/>
  <c r="E8" i="13"/>
  <c r="D8" i="13"/>
  <c r="E5" i="13"/>
  <c r="D5" i="13"/>
  <c r="E7" i="13"/>
  <c r="D7" i="13"/>
  <c r="E2" i="13"/>
  <c r="D2" i="13"/>
  <c r="E9" i="13"/>
  <c r="D9" i="13"/>
  <c r="E3" i="13"/>
  <c r="D3" i="13"/>
  <c r="E6" i="13"/>
  <c r="D6" i="13"/>
  <c r="N9" i="12"/>
  <c r="W32" i="1" s="1"/>
  <c r="N8" i="12"/>
  <c r="N7" i="12"/>
  <c r="N6" i="12"/>
  <c r="N5" i="12"/>
  <c r="N4" i="12"/>
  <c r="N3" i="12"/>
  <c r="N2" i="12"/>
  <c r="M11" i="12"/>
  <c r="M10" i="12"/>
  <c r="M4" i="12"/>
  <c r="M9" i="12"/>
  <c r="M5" i="12"/>
  <c r="M8" i="12"/>
  <c r="M2" i="12"/>
  <c r="M7" i="12"/>
  <c r="M3" i="12"/>
  <c r="M6" i="12"/>
  <c r="AH13" i="1"/>
  <c r="AG13" i="1"/>
  <c r="AF13" i="1"/>
  <c r="AE13" i="1"/>
  <c r="T13" i="1"/>
  <c r="S13" i="1"/>
  <c r="Q13" i="1"/>
  <c r="P13" i="1"/>
  <c r="M13" i="1"/>
  <c r="L10" i="1"/>
  <c r="AH32" i="1"/>
  <c r="AG32" i="1"/>
  <c r="AF32" i="1"/>
  <c r="AE32" i="1"/>
  <c r="T32" i="1"/>
  <c r="S32" i="1"/>
  <c r="Q32" i="1"/>
  <c r="P32" i="1"/>
  <c r="M32" i="1"/>
  <c r="L32" i="1"/>
  <c r="AL32" i="1"/>
  <c r="AK32" i="1"/>
  <c r="E8" i="12"/>
  <c r="D8" i="12"/>
  <c r="E11" i="12"/>
  <c r="G13" i="1" s="1"/>
  <c r="D11" i="12"/>
  <c r="F13" i="1" s="1"/>
  <c r="E9" i="12"/>
  <c r="G32" i="1" s="1"/>
  <c r="D9" i="12"/>
  <c r="F32" i="1" s="1"/>
  <c r="E5" i="12"/>
  <c r="D5" i="12"/>
  <c r="E10" i="12"/>
  <c r="D10" i="12"/>
  <c r="E3" i="12"/>
  <c r="D3" i="12"/>
  <c r="E4" i="12"/>
  <c r="D4" i="12"/>
  <c r="E2" i="12"/>
  <c r="D2" i="12"/>
  <c r="E6" i="12"/>
  <c r="D6" i="12"/>
  <c r="E7" i="12"/>
  <c r="D7" i="12"/>
  <c r="N9" i="11"/>
  <c r="N8" i="11"/>
  <c r="N7" i="11"/>
  <c r="N6" i="11"/>
  <c r="N5" i="11"/>
  <c r="N4" i="11"/>
  <c r="N3" i="11"/>
  <c r="N2" i="11"/>
  <c r="AG23" i="1"/>
  <c r="AH23" i="1"/>
  <c r="AG24" i="1"/>
  <c r="AH24" i="1"/>
  <c r="AG26" i="1"/>
  <c r="AH26" i="1"/>
  <c r="AG28" i="1"/>
  <c r="AH28" i="1"/>
  <c r="AG29" i="1"/>
  <c r="AH29" i="1"/>
  <c r="AG30" i="1"/>
  <c r="AH30" i="1"/>
  <c r="AG33" i="1"/>
  <c r="AH33" i="1"/>
  <c r="AF30" i="1"/>
  <c r="AE30" i="1"/>
  <c r="AF26" i="1"/>
  <c r="AE26" i="1"/>
  <c r="AF23" i="1"/>
  <c r="AE23" i="1"/>
  <c r="AE19" i="1"/>
  <c r="AF19" i="1"/>
  <c r="AH21" i="1"/>
  <c r="AG21" i="1"/>
  <c r="AH20" i="1"/>
  <c r="AG20" i="1"/>
  <c r="AH19" i="1"/>
  <c r="AG19" i="1"/>
  <c r="AH15" i="1"/>
  <c r="AG15" i="1"/>
  <c r="W29" i="1"/>
  <c r="N9" i="2"/>
  <c r="N8" i="2"/>
  <c r="N7" i="2"/>
  <c r="N6" i="2"/>
  <c r="N5" i="2"/>
  <c r="N4" i="2"/>
  <c r="N3" i="2"/>
  <c r="N2" i="2"/>
  <c r="M11" i="2"/>
  <c r="L11" i="2" s="1"/>
  <c r="M10" i="2"/>
  <c r="L10" i="2" s="1"/>
  <c r="M7" i="2"/>
  <c r="M8" i="2"/>
  <c r="M9" i="2"/>
  <c r="M4" i="2"/>
  <c r="M5" i="2"/>
  <c r="M3" i="2"/>
  <c r="M6" i="2"/>
  <c r="M2" i="2"/>
  <c r="N9" i="3"/>
  <c r="W21" i="1" s="1"/>
  <c r="N8" i="3"/>
  <c r="N7" i="3"/>
  <c r="N6" i="3"/>
  <c r="N5" i="3"/>
  <c r="N4" i="3"/>
  <c r="N3" i="3"/>
  <c r="N2" i="3"/>
  <c r="M3" i="3"/>
  <c r="M5" i="3"/>
  <c r="V20" i="1" s="1"/>
  <c r="M11" i="3"/>
  <c r="L11" i="3" s="1"/>
  <c r="M10" i="3"/>
  <c r="L10" i="3" s="1"/>
  <c r="M7" i="3"/>
  <c r="M9" i="3"/>
  <c r="M8" i="3"/>
  <c r="M6" i="3"/>
  <c r="M4" i="3"/>
  <c r="M2" i="3"/>
  <c r="N9" i="7"/>
  <c r="N8" i="7"/>
  <c r="W24" i="1" s="1"/>
  <c r="N6" i="7"/>
  <c r="N7" i="7"/>
  <c r="N5" i="7"/>
  <c r="N4" i="7"/>
  <c r="N3" i="7"/>
  <c r="N2" i="7"/>
  <c r="M13" i="7"/>
  <c r="L13" i="7" s="1"/>
  <c r="U35" i="1" s="1"/>
  <c r="M6" i="7"/>
  <c r="M10" i="7"/>
  <c r="M9" i="7"/>
  <c r="M8" i="7"/>
  <c r="V24" i="1" s="1"/>
  <c r="M12" i="7"/>
  <c r="AC33" i="1" s="1"/>
  <c r="M4" i="7"/>
  <c r="M7" i="7"/>
  <c r="M3" i="7"/>
  <c r="M2" i="7"/>
  <c r="M11" i="7"/>
  <c r="L11" i="7" s="1"/>
  <c r="M5" i="7"/>
  <c r="N9" i="6"/>
  <c r="L9" i="6" s="1"/>
  <c r="N8" i="6"/>
  <c r="N7" i="6"/>
  <c r="N6" i="6"/>
  <c r="N5" i="6"/>
  <c r="N4" i="6"/>
  <c r="N3" i="6"/>
  <c r="N2" i="6"/>
  <c r="M2" i="6"/>
  <c r="M6" i="6"/>
  <c r="M7" i="6"/>
  <c r="M5" i="6"/>
  <c r="M3" i="6"/>
  <c r="M4" i="6"/>
  <c r="L4" i="6" s="1"/>
  <c r="M8" i="6"/>
  <c r="M9" i="6"/>
  <c r="N9" i="5"/>
  <c r="N8" i="5"/>
  <c r="N7" i="5"/>
  <c r="N6" i="5"/>
  <c r="N5" i="5"/>
  <c r="L5" i="5" s="1"/>
  <c r="N4" i="5"/>
  <c r="N3" i="5"/>
  <c r="W26" i="1" s="1"/>
  <c r="N2" i="5"/>
  <c r="M3" i="5"/>
  <c r="V26" i="1" s="1"/>
  <c r="M12" i="5"/>
  <c r="L12" i="5" s="1"/>
  <c r="M10" i="5"/>
  <c r="M9" i="5"/>
  <c r="M2" i="5"/>
  <c r="AD23" i="1" s="1"/>
  <c r="M6" i="5"/>
  <c r="M7" i="5"/>
  <c r="M4" i="5"/>
  <c r="M11" i="5"/>
  <c r="L11" i="5" s="1"/>
  <c r="M8" i="5"/>
  <c r="M5" i="5"/>
  <c r="M7" i="4"/>
  <c r="M6" i="4"/>
  <c r="M5" i="4"/>
  <c r="M3" i="4"/>
  <c r="M2" i="4"/>
  <c r="M4" i="4"/>
  <c r="N5" i="4"/>
  <c r="N4" i="4"/>
  <c r="L4" i="4" s="1"/>
  <c r="N3" i="4"/>
  <c r="N2" i="4"/>
  <c r="N7" i="4"/>
  <c r="N6" i="4"/>
  <c r="L3" i="4"/>
  <c r="M11" i="11"/>
  <c r="M10" i="11"/>
  <c r="M2" i="11"/>
  <c r="M3" i="11"/>
  <c r="M7" i="11"/>
  <c r="M5" i="11"/>
  <c r="M4" i="11"/>
  <c r="M9" i="11"/>
  <c r="M8" i="11"/>
  <c r="M6" i="11"/>
  <c r="AK8" i="1"/>
  <c r="AL8" i="1"/>
  <c r="AH10" i="1"/>
  <c r="AF10" i="1"/>
  <c r="AG10" i="1"/>
  <c r="T10" i="1"/>
  <c r="Q10" i="1"/>
  <c r="M10" i="1"/>
  <c r="J10" i="1"/>
  <c r="E9" i="11"/>
  <c r="D9" i="11"/>
  <c r="E10" i="11"/>
  <c r="D10" i="11"/>
  <c r="E11" i="11"/>
  <c r="D11" i="11"/>
  <c r="E4" i="11"/>
  <c r="D4" i="11"/>
  <c r="E2" i="11"/>
  <c r="D2" i="11"/>
  <c r="E5" i="11"/>
  <c r="D5" i="11"/>
  <c r="E8" i="11"/>
  <c r="D8" i="11"/>
  <c r="E6" i="11"/>
  <c r="D6" i="11"/>
  <c r="E7" i="11"/>
  <c r="D7" i="11"/>
  <c r="E3" i="11"/>
  <c r="D3" i="11"/>
  <c r="N9" i="10"/>
  <c r="N8" i="10"/>
  <c r="N7" i="10"/>
  <c r="W28" i="1" s="1"/>
  <c r="N6" i="10"/>
  <c r="N5" i="10"/>
  <c r="N2" i="10"/>
  <c r="N3" i="10"/>
  <c r="N4" i="10"/>
  <c r="D3" i="4"/>
  <c r="E3" i="4"/>
  <c r="D4" i="4"/>
  <c r="E4" i="4"/>
  <c r="D5" i="4"/>
  <c r="E5" i="4"/>
  <c r="D6" i="4"/>
  <c r="E6" i="4"/>
  <c r="D7" i="4"/>
  <c r="E7" i="4"/>
  <c r="E2" i="4"/>
  <c r="D2" i="4"/>
  <c r="L9" i="5"/>
  <c r="L10" i="5"/>
  <c r="AB30" i="1" s="1"/>
  <c r="E3" i="5"/>
  <c r="G26" i="1" s="1"/>
  <c r="E4" i="5"/>
  <c r="E5" i="5"/>
  <c r="E6" i="5"/>
  <c r="E7" i="5"/>
  <c r="E8" i="5"/>
  <c r="E9" i="5"/>
  <c r="E10" i="5"/>
  <c r="E11" i="5"/>
  <c r="E12" i="5"/>
  <c r="E2" i="5"/>
  <c r="D3" i="5"/>
  <c r="F26" i="1" s="1"/>
  <c r="D4" i="5"/>
  <c r="D5" i="5"/>
  <c r="D6" i="5"/>
  <c r="D7" i="5"/>
  <c r="D8" i="5"/>
  <c r="D9" i="5"/>
  <c r="D10" i="5"/>
  <c r="D11" i="5"/>
  <c r="D12" i="5"/>
  <c r="F21" i="1" s="1"/>
  <c r="D2" i="5"/>
  <c r="F23" i="1" s="1"/>
  <c r="E3" i="6"/>
  <c r="E4" i="6"/>
  <c r="E5" i="6"/>
  <c r="E6" i="6"/>
  <c r="E7" i="6"/>
  <c r="E8" i="6"/>
  <c r="E9" i="6"/>
  <c r="E2" i="6"/>
  <c r="D3" i="6"/>
  <c r="D4" i="6"/>
  <c r="D5" i="6"/>
  <c r="D6" i="6"/>
  <c r="D7" i="6"/>
  <c r="D8" i="6"/>
  <c r="D9" i="6"/>
  <c r="D2" i="6"/>
  <c r="L10" i="7"/>
  <c r="L12" i="7"/>
  <c r="AB33" i="1" s="1"/>
  <c r="D3" i="7"/>
  <c r="E3" i="7"/>
  <c r="D4" i="7"/>
  <c r="E4" i="7"/>
  <c r="D5" i="7"/>
  <c r="E5" i="7"/>
  <c r="D6" i="7"/>
  <c r="E6" i="7"/>
  <c r="D7" i="7"/>
  <c r="E7" i="7"/>
  <c r="D8" i="7"/>
  <c r="F24" i="1" s="1"/>
  <c r="E8" i="7"/>
  <c r="D9" i="7"/>
  <c r="E9" i="7"/>
  <c r="D10" i="7"/>
  <c r="E10" i="7"/>
  <c r="D11" i="7"/>
  <c r="E11" i="7"/>
  <c r="D12" i="7"/>
  <c r="F33" i="1" s="1"/>
  <c r="E12" i="7"/>
  <c r="G33" i="1" s="1"/>
  <c r="D13" i="7"/>
  <c r="F35" i="1" s="1"/>
  <c r="E13" i="7"/>
  <c r="G35" i="1" s="1"/>
  <c r="D2" i="7"/>
  <c r="E2" i="7"/>
  <c r="D3" i="3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G29" i="1" s="1"/>
  <c r="D11" i="3"/>
  <c r="E11" i="3"/>
  <c r="E2" i="3"/>
  <c r="D2" i="3"/>
  <c r="D2" i="2"/>
  <c r="D6" i="2"/>
  <c r="E7" i="2"/>
  <c r="D3" i="2"/>
  <c r="E9" i="2"/>
  <c r="D5" i="2"/>
  <c r="D10" i="2"/>
  <c r="E8" i="2"/>
  <c r="E4" i="2"/>
  <c r="E11" i="2"/>
  <c r="D7" i="2"/>
  <c r="D4" i="2"/>
  <c r="D11" i="2"/>
  <c r="E3" i="2"/>
  <c r="E6" i="2"/>
  <c r="D8" i="2"/>
  <c r="E10" i="2"/>
  <c r="D9" i="2"/>
  <c r="E5" i="2"/>
  <c r="E2" i="2"/>
  <c r="N6" i="9"/>
  <c r="N9" i="9"/>
  <c r="N7" i="9"/>
  <c r="W13" i="1" s="1"/>
  <c r="N8" i="9"/>
  <c r="L8" i="9" s="1"/>
  <c r="N5" i="9"/>
  <c r="N4" i="9"/>
  <c r="N2" i="9"/>
  <c r="N3" i="9"/>
  <c r="D3" i="9"/>
  <c r="D9" i="9"/>
  <c r="E4" i="9"/>
  <c r="E3" i="9"/>
  <c r="E2" i="9"/>
  <c r="M13" i="9"/>
  <c r="L13" i="9" s="1"/>
  <c r="M11" i="9"/>
  <c r="L11" i="9" s="1"/>
  <c r="M12" i="9"/>
  <c r="L12" i="9" s="1"/>
  <c r="M5" i="9"/>
  <c r="L5" i="9" s="1"/>
  <c r="M10" i="9"/>
  <c r="L10" i="9" s="1"/>
  <c r="M6" i="9"/>
  <c r="M7" i="9"/>
  <c r="M8" i="9"/>
  <c r="M2" i="9"/>
  <c r="M4" i="9"/>
  <c r="L4" i="9" s="1"/>
  <c r="M3" i="9"/>
  <c r="L3" i="9" s="1"/>
  <c r="M9" i="9"/>
  <c r="D6" i="9"/>
  <c r="D2" i="9"/>
  <c r="E7" i="9"/>
  <c r="E13" i="9"/>
  <c r="D7" i="9"/>
  <c r="D13" i="9"/>
  <c r="E11" i="9"/>
  <c r="D11" i="9"/>
  <c r="E9" i="9"/>
  <c r="E6" i="9"/>
  <c r="E5" i="9"/>
  <c r="D5" i="9"/>
  <c r="E10" i="9"/>
  <c r="D10" i="9"/>
  <c r="E8" i="9"/>
  <c r="D8" i="9"/>
  <c r="E12" i="9"/>
  <c r="G10" i="1" s="1"/>
  <c r="D12" i="9"/>
  <c r="D4" i="9"/>
  <c r="M12" i="10"/>
  <c r="M11" i="10"/>
  <c r="L11" i="10" s="1"/>
  <c r="M8" i="10"/>
  <c r="M13" i="10"/>
  <c r="L13" i="10" s="1"/>
  <c r="M10" i="10"/>
  <c r="L10" i="10" s="1"/>
  <c r="M6" i="10"/>
  <c r="L6" i="10" s="1"/>
  <c r="M9" i="10"/>
  <c r="L9" i="10" s="1"/>
  <c r="M7" i="10"/>
  <c r="L7" i="10" s="1"/>
  <c r="M2" i="10"/>
  <c r="L2" i="10" s="1"/>
  <c r="M3" i="10"/>
  <c r="L3" i="10" s="1"/>
  <c r="M5" i="10"/>
  <c r="L5" i="10" s="1"/>
  <c r="M4" i="10"/>
  <c r="L4" i="10" s="1"/>
  <c r="D4" i="10"/>
  <c r="E10" i="10"/>
  <c r="E8" i="10"/>
  <c r="D3" i="10"/>
  <c r="E9" i="10"/>
  <c r="E4" i="10"/>
  <c r="E2" i="10"/>
  <c r="D6" i="10"/>
  <c r="D2" i="10"/>
  <c r="E12" i="10"/>
  <c r="E11" i="10"/>
  <c r="D12" i="10"/>
  <c r="D11" i="10"/>
  <c r="D10" i="10"/>
  <c r="E3" i="10"/>
  <c r="E6" i="10"/>
  <c r="E13" i="10"/>
  <c r="D13" i="10"/>
  <c r="E5" i="10"/>
  <c r="D5" i="10"/>
  <c r="D8" i="10"/>
  <c r="E7" i="10"/>
  <c r="G28" i="1" s="1"/>
  <c r="D7" i="10"/>
  <c r="F28" i="1" s="1"/>
  <c r="D9" i="10"/>
  <c r="AF28" i="1"/>
  <c r="AE28" i="1"/>
  <c r="AD28" i="1"/>
  <c r="AC28" i="1"/>
  <c r="T28" i="1"/>
  <c r="S28" i="1"/>
  <c r="Q28" i="1"/>
  <c r="P28" i="1"/>
  <c r="M28" i="1"/>
  <c r="L28" i="1"/>
  <c r="K28" i="1"/>
  <c r="J28" i="1"/>
  <c r="F10" i="1"/>
  <c r="AL28" i="1"/>
  <c r="AK28" i="1"/>
  <c r="P10" i="1"/>
  <c r="G24" i="1"/>
  <c r="G23" i="1"/>
  <c r="G21" i="1"/>
  <c r="F20" i="1"/>
  <c r="G20" i="1"/>
  <c r="F19" i="1"/>
  <c r="J24" i="1"/>
  <c r="K24" i="1"/>
  <c r="J26" i="1"/>
  <c r="K26" i="1"/>
  <c r="J29" i="1"/>
  <c r="K29" i="1"/>
  <c r="J30" i="1"/>
  <c r="K30" i="1"/>
  <c r="V30" i="1"/>
  <c r="J33" i="1"/>
  <c r="K33" i="1"/>
  <c r="J23" i="1"/>
  <c r="K23" i="1"/>
  <c r="J21" i="1"/>
  <c r="K21" i="1"/>
  <c r="J20" i="1"/>
  <c r="K20" i="1"/>
  <c r="J19" i="1"/>
  <c r="K19" i="1"/>
  <c r="V19" i="1"/>
  <c r="J15" i="1"/>
  <c r="K15" i="1"/>
  <c r="V15" i="1"/>
  <c r="F29" i="1"/>
  <c r="F30" i="1"/>
  <c r="G30" i="1"/>
  <c r="U30" i="1"/>
  <c r="AL7" i="1"/>
  <c r="AK7" i="1"/>
  <c r="AL3" i="1"/>
  <c r="AK3" i="1"/>
  <c r="AL12" i="1"/>
  <c r="AF15" i="1"/>
  <c r="AF20" i="1"/>
  <c r="AF21" i="1"/>
  <c r="AF24" i="1"/>
  <c r="AF29" i="1"/>
  <c r="AF33" i="1"/>
  <c r="AL17" i="1"/>
  <c r="AK12" i="1"/>
  <c r="AK17" i="1"/>
  <c r="AE10" i="1"/>
  <c r="AE15" i="1"/>
  <c r="AE20" i="1"/>
  <c r="AE21" i="1"/>
  <c r="AE24" i="1"/>
  <c r="AE29" i="1"/>
  <c r="AE33" i="1"/>
  <c r="AD29" i="1"/>
  <c r="AD30" i="1"/>
  <c r="AC19" i="1"/>
  <c r="AC29" i="1"/>
  <c r="AC30" i="1"/>
  <c r="AL5" i="1"/>
  <c r="AK5" i="1"/>
  <c r="AA30" i="1"/>
  <c r="AA33" i="1"/>
  <c r="W20" i="1"/>
  <c r="W23" i="1"/>
  <c r="W30" i="1"/>
  <c r="W33" i="1"/>
  <c r="AK6" i="1"/>
  <c r="AL6" i="1"/>
  <c r="T15" i="1"/>
  <c r="T19" i="1"/>
  <c r="T20" i="1"/>
  <c r="T21" i="1"/>
  <c r="T23" i="1"/>
  <c r="T24" i="1"/>
  <c r="T26" i="1"/>
  <c r="T29" i="1"/>
  <c r="T30" i="1"/>
  <c r="T33" i="1"/>
  <c r="AK23" i="1"/>
  <c r="AL23" i="1"/>
  <c r="S10" i="1"/>
  <c r="S15" i="1"/>
  <c r="S19" i="1"/>
  <c r="S20" i="1"/>
  <c r="S21" i="1"/>
  <c r="S23" i="1"/>
  <c r="S24" i="1"/>
  <c r="S26" i="1"/>
  <c r="S29" i="1"/>
  <c r="S30" i="1"/>
  <c r="S33" i="1"/>
  <c r="Q15" i="1"/>
  <c r="Q19" i="1"/>
  <c r="Q20" i="1"/>
  <c r="Q21" i="1"/>
  <c r="Q23" i="1"/>
  <c r="Q24" i="1"/>
  <c r="Q26" i="1"/>
  <c r="Q29" i="1"/>
  <c r="Q30" i="1"/>
  <c r="Q33" i="1"/>
  <c r="AL11" i="1"/>
  <c r="AK11" i="1"/>
  <c r="P15" i="1"/>
  <c r="P19" i="1"/>
  <c r="P20" i="1"/>
  <c r="P21" i="1"/>
  <c r="P23" i="1"/>
  <c r="P24" i="1"/>
  <c r="P26" i="1"/>
  <c r="P29" i="1"/>
  <c r="P30" i="1"/>
  <c r="P33" i="1"/>
  <c r="AL4" i="1"/>
  <c r="AK4" i="1"/>
  <c r="M15" i="1"/>
  <c r="M19" i="1"/>
  <c r="M20" i="1"/>
  <c r="M21" i="1"/>
  <c r="M23" i="1"/>
  <c r="M24" i="1"/>
  <c r="M26" i="1"/>
  <c r="M29" i="1"/>
  <c r="M30" i="1"/>
  <c r="M33" i="1"/>
  <c r="L15" i="1"/>
  <c r="L19" i="1"/>
  <c r="L20" i="1"/>
  <c r="L21" i="1"/>
  <c r="L23" i="1"/>
  <c r="L24" i="1"/>
  <c r="L26" i="1"/>
  <c r="L29" i="1"/>
  <c r="L30" i="1"/>
  <c r="L33" i="1"/>
  <c r="AL13" i="1"/>
  <c r="AK13" i="1"/>
  <c r="AL35" i="1"/>
  <c r="AK35" i="1"/>
  <c r="AL9" i="1"/>
  <c r="AL30" i="1"/>
  <c r="AL33" i="1"/>
  <c r="AL29" i="1"/>
  <c r="AL26" i="1"/>
  <c r="AL24" i="1"/>
  <c r="AL21" i="1"/>
  <c r="AL10" i="1"/>
  <c r="AL20" i="1"/>
  <c r="AL19" i="1"/>
  <c r="AL15" i="1"/>
  <c r="AL1" i="1"/>
  <c r="AK15" i="1"/>
  <c r="AK19" i="1"/>
  <c r="AK20" i="1"/>
  <c r="AK10" i="1"/>
  <c r="AK21" i="1"/>
  <c r="AK24" i="1"/>
  <c r="AK26" i="1"/>
  <c r="AK29" i="1"/>
  <c r="AK33" i="1"/>
  <c r="AK30" i="1"/>
  <c r="AK9" i="1"/>
  <c r="AK1" i="1"/>
  <c r="A68" i="8"/>
  <c r="A67" i="8"/>
  <c r="A66" i="8"/>
  <c r="A29" i="8"/>
  <c r="A28" i="8"/>
  <c r="A27" i="8"/>
  <c r="A23" i="8"/>
  <c r="A62" i="8"/>
  <c r="D21" i="8"/>
  <c r="D60" i="8"/>
  <c r="D20" i="8"/>
  <c r="D59" i="8"/>
  <c r="C21" i="8"/>
  <c r="C60" i="8"/>
  <c r="C20" i="8"/>
  <c r="C59" i="8"/>
  <c r="D10" i="8"/>
  <c r="D49" i="8"/>
  <c r="C10" i="8"/>
  <c r="C49" i="8"/>
  <c r="D44" i="8"/>
  <c r="A37" i="8"/>
  <c r="A76" i="8"/>
  <c r="A36" i="8"/>
  <c r="A75" i="8"/>
  <c r="A35" i="8"/>
  <c r="A74" i="8"/>
  <c r="A34" i="8"/>
  <c r="A73" i="8"/>
  <c r="A33" i="8"/>
  <c r="A72" i="8"/>
  <c r="A32" i="8"/>
  <c r="A71" i="8"/>
  <c r="A31" i="8"/>
  <c r="A70" i="8"/>
  <c r="A30" i="8"/>
  <c r="A69" i="8"/>
  <c r="A26" i="8"/>
  <c r="A65" i="8"/>
  <c r="A25" i="8"/>
  <c r="A64" i="8"/>
  <c r="A24" i="8"/>
  <c r="A63" i="8"/>
  <c r="A61" i="8"/>
  <c r="A22" i="8"/>
  <c r="A19" i="8"/>
  <c r="A58" i="8"/>
  <c r="A18" i="8"/>
  <c r="A57" i="8"/>
  <c r="A17" i="8"/>
  <c r="A56" i="8"/>
  <c r="A16" i="8"/>
  <c r="A55" i="8"/>
  <c r="A15" i="8"/>
  <c r="A54" i="8"/>
  <c r="A14" i="8"/>
  <c r="A53" i="8"/>
  <c r="A13" i="8"/>
  <c r="A52" i="8"/>
  <c r="A12" i="8"/>
  <c r="A11" i="8"/>
  <c r="A9" i="8"/>
  <c r="A8" i="8"/>
  <c r="A47" i="8"/>
  <c r="A7" i="8"/>
  <c r="A6" i="8"/>
  <c r="A4" i="8"/>
  <c r="A3" i="8"/>
  <c r="C44" i="8"/>
  <c r="A51" i="8"/>
  <c r="A50" i="8"/>
  <c r="A48" i="8"/>
  <c r="A46" i="8"/>
  <c r="A45" i="8"/>
  <c r="A43" i="8"/>
  <c r="A42" i="8"/>
  <c r="R33" i="1" l="1"/>
  <c r="U22" i="1"/>
  <c r="AA4" i="1"/>
  <c r="AB27" i="1"/>
  <c r="AA27" i="1"/>
  <c r="E27" i="1"/>
  <c r="D27" i="1" s="1"/>
  <c r="R25" i="1"/>
  <c r="I27" i="1"/>
  <c r="H27" i="1" s="1"/>
  <c r="O22" i="1"/>
  <c r="Z22" i="1" s="1"/>
  <c r="AA5" i="1"/>
  <c r="I25" i="1"/>
  <c r="H25" i="1" s="1"/>
  <c r="O25" i="1"/>
  <c r="N25" i="1" s="1"/>
  <c r="E22" i="1"/>
  <c r="R22" i="1"/>
  <c r="U3" i="1"/>
  <c r="E25" i="1"/>
  <c r="D25" i="1" s="1"/>
  <c r="R27" i="1"/>
  <c r="AB5" i="1"/>
  <c r="U25" i="1"/>
  <c r="O27" i="1"/>
  <c r="N27" i="1" s="1"/>
  <c r="AB22" i="1"/>
  <c r="AA25" i="1"/>
  <c r="I22" i="1"/>
  <c r="H22" i="1" s="1"/>
  <c r="X27" i="1"/>
  <c r="U4" i="1"/>
  <c r="U12" i="1"/>
  <c r="AA11" i="1"/>
  <c r="U8" i="1"/>
  <c r="AA12" i="1"/>
  <c r="U18" i="1"/>
  <c r="AB11" i="1"/>
  <c r="AA3" i="1"/>
  <c r="U7" i="1"/>
  <c r="AA8" i="1"/>
  <c r="U16" i="1"/>
  <c r="AA18" i="1"/>
  <c r="AA7" i="1"/>
  <c r="AA16" i="1"/>
  <c r="G15" i="1"/>
  <c r="F17" i="1"/>
  <c r="F15" i="1"/>
  <c r="L2" i="4"/>
  <c r="F6" i="1"/>
  <c r="B6" i="8" s="1"/>
  <c r="C6" i="8" s="1"/>
  <c r="W6" i="1"/>
  <c r="AA35" i="1"/>
  <c r="G6" i="1"/>
  <c r="AB35" i="1"/>
  <c r="AC35" i="1"/>
  <c r="G9" i="1"/>
  <c r="E9" i="1" s="1"/>
  <c r="D9" i="1" s="1"/>
  <c r="V6" i="1"/>
  <c r="AD35" i="1"/>
  <c r="L7" i="4"/>
  <c r="V21" i="1"/>
  <c r="E3" i="1"/>
  <c r="L3" i="7"/>
  <c r="L3" i="2"/>
  <c r="AC9" i="1"/>
  <c r="E12" i="1"/>
  <c r="D12" i="1" s="1"/>
  <c r="G19" i="1"/>
  <c r="E19" i="1" s="1"/>
  <c r="D19" i="1" s="1"/>
  <c r="AD13" i="1"/>
  <c r="L6" i="7"/>
  <c r="L7" i="9"/>
  <c r="L4" i="2"/>
  <c r="G17" i="1"/>
  <c r="V17" i="1"/>
  <c r="V35" i="1"/>
  <c r="L10" i="15"/>
  <c r="L6" i="15"/>
  <c r="L5" i="15"/>
  <c r="L3" i="15"/>
  <c r="L2" i="15"/>
  <c r="I34" i="1"/>
  <c r="H34" i="1" s="1"/>
  <c r="L4" i="15"/>
  <c r="O34" i="1"/>
  <c r="N34" i="1" s="1"/>
  <c r="L7" i="15"/>
  <c r="L11" i="15"/>
  <c r="L8" i="15"/>
  <c r="V34" i="1"/>
  <c r="AC34" i="1"/>
  <c r="L9" i="15"/>
  <c r="AA34" i="1" s="1"/>
  <c r="E34" i="1"/>
  <c r="D34" i="1" s="1"/>
  <c r="R18" i="1"/>
  <c r="O18" i="1"/>
  <c r="N18" i="1" s="1"/>
  <c r="I18" i="1"/>
  <c r="H18" i="1" s="1"/>
  <c r="E18" i="1"/>
  <c r="D18" i="1" s="1"/>
  <c r="B18" i="8"/>
  <c r="D18" i="8" s="1"/>
  <c r="B12" i="8"/>
  <c r="C12" i="8" s="1"/>
  <c r="B23" i="8"/>
  <c r="D23" i="8" s="1"/>
  <c r="B14" i="8"/>
  <c r="D14" i="8" s="1"/>
  <c r="L11" i="14"/>
  <c r="L5" i="14"/>
  <c r="V9" i="1"/>
  <c r="L6" i="14"/>
  <c r="L3" i="14"/>
  <c r="L9" i="14"/>
  <c r="AC6" i="1"/>
  <c r="AD6" i="1"/>
  <c r="L8" i="14"/>
  <c r="L4" i="14"/>
  <c r="AD9" i="1"/>
  <c r="L10" i="14"/>
  <c r="AA9" i="1" s="1"/>
  <c r="L2" i="14"/>
  <c r="W9" i="1"/>
  <c r="L7" i="14"/>
  <c r="R16" i="1"/>
  <c r="O16" i="1"/>
  <c r="N16" i="1" s="1"/>
  <c r="I16" i="1"/>
  <c r="E16" i="1"/>
  <c r="D16" i="1" s="1"/>
  <c r="L10" i="13"/>
  <c r="AA31" i="1" s="1"/>
  <c r="L3" i="13"/>
  <c r="AD17" i="1"/>
  <c r="AC17" i="1"/>
  <c r="AD31" i="1"/>
  <c r="L4" i="13"/>
  <c r="AC31" i="1"/>
  <c r="L11" i="13"/>
  <c r="L8" i="13"/>
  <c r="L5" i="13"/>
  <c r="R31" i="1"/>
  <c r="O31" i="1"/>
  <c r="N31" i="1" s="1"/>
  <c r="I31" i="1"/>
  <c r="H31" i="1" s="1"/>
  <c r="E31" i="1"/>
  <c r="L9" i="13"/>
  <c r="L7" i="13"/>
  <c r="L6" i="13"/>
  <c r="L2" i="13"/>
  <c r="AC13" i="1"/>
  <c r="V13" i="1"/>
  <c r="L9" i="12"/>
  <c r="AB32" i="1" s="1"/>
  <c r="L4" i="12"/>
  <c r="L11" i="12"/>
  <c r="L3" i="12"/>
  <c r="L8" i="12"/>
  <c r="L10" i="12"/>
  <c r="L6" i="12"/>
  <c r="V32" i="1"/>
  <c r="L5" i="12"/>
  <c r="L2" i="12"/>
  <c r="AD32" i="1"/>
  <c r="AC32" i="1"/>
  <c r="O32" i="1"/>
  <c r="Z32" i="1" s="1"/>
  <c r="I32" i="1"/>
  <c r="H32" i="1" s="1"/>
  <c r="R32" i="1"/>
  <c r="E32" i="1"/>
  <c r="L7" i="12"/>
  <c r="L7" i="2"/>
  <c r="L9" i="2"/>
  <c r="L8" i="2"/>
  <c r="L6" i="2"/>
  <c r="L5" i="2"/>
  <c r="L2" i="2"/>
  <c r="L8" i="3"/>
  <c r="L7" i="3"/>
  <c r="L6" i="3"/>
  <c r="L4" i="3"/>
  <c r="L3" i="3"/>
  <c r="L2" i="3"/>
  <c r="AB20" i="1"/>
  <c r="L5" i="3"/>
  <c r="U20" i="1" s="1"/>
  <c r="AC20" i="1"/>
  <c r="AA29" i="1"/>
  <c r="AB29" i="1"/>
  <c r="U29" i="1"/>
  <c r="V29" i="1"/>
  <c r="AD21" i="1"/>
  <c r="L9" i="3"/>
  <c r="AA21" i="1" s="1"/>
  <c r="L9" i="7"/>
  <c r="W10" i="1"/>
  <c r="L7" i="7"/>
  <c r="L5" i="7"/>
  <c r="L4" i="7"/>
  <c r="L2" i="7"/>
  <c r="AD20" i="1"/>
  <c r="AC24" i="1"/>
  <c r="AD24" i="1"/>
  <c r="L8" i="7"/>
  <c r="U33" i="1"/>
  <c r="AD33" i="1"/>
  <c r="V33" i="1"/>
  <c r="AC10" i="1"/>
  <c r="L7" i="6"/>
  <c r="L8" i="6"/>
  <c r="W15" i="1"/>
  <c r="L6" i="6"/>
  <c r="L5" i="6"/>
  <c r="L2" i="6"/>
  <c r="AC15" i="1"/>
  <c r="V10" i="1"/>
  <c r="L3" i="6"/>
  <c r="L8" i="5"/>
  <c r="W19" i="1"/>
  <c r="L7" i="5"/>
  <c r="L4" i="5"/>
  <c r="L3" i="5"/>
  <c r="AA26" i="1" s="1"/>
  <c r="AC26" i="1"/>
  <c r="AD26" i="1"/>
  <c r="AC21" i="1"/>
  <c r="AA19" i="1"/>
  <c r="L2" i="5"/>
  <c r="V23" i="1"/>
  <c r="AC23" i="1"/>
  <c r="AD15" i="1"/>
  <c r="L6" i="5"/>
  <c r="L6" i="4"/>
  <c r="L5" i="4"/>
  <c r="AD19" i="1"/>
  <c r="U19" i="1"/>
  <c r="R8" i="1"/>
  <c r="L7" i="11"/>
  <c r="L10" i="11"/>
  <c r="L11" i="11"/>
  <c r="L4" i="11"/>
  <c r="L2" i="11"/>
  <c r="L5" i="11"/>
  <c r="L9" i="11"/>
  <c r="L6" i="11"/>
  <c r="I8" i="1"/>
  <c r="H8" i="1" s="1"/>
  <c r="L8" i="11"/>
  <c r="E8" i="1"/>
  <c r="D8" i="1" s="1"/>
  <c r="I35" i="1"/>
  <c r="H35" i="1" s="1"/>
  <c r="O8" i="1"/>
  <c r="N8" i="1" s="1"/>
  <c r="O6" i="1"/>
  <c r="O24" i="1"/>
  <c r="N24" i="1" s="1"/>
  <c r="R17" i="1"/>
  <c r="O26" i="1"/>
  <c r="R26" i="1"/>
  <c r="B35" i="8"/>
  <c r="D35" i="8" s="1"/>
  <c r="R5" i="1"/>
  <c r="O11" i="1"/>
  <c r="O4" i="1"/>
  <c r="N4" i="1" s="1"/>
  <c r="I11" i="1"/>
  <c r="R10" i="1"/>
  <c r="O29" i="1"/>
  <c r="N29" i="1" s="1"/>
  <c r="R21" i="1"/>
  <c r="I19" i="1"/>
  <c r="H19" i="1" s="1"/>
  <c r="I29" i="1"/>
  <c r="H29" i="1" s="1"/>
  <c r="B51" i="8"/>
  <c r="D51" i="8" s="1"/>
  <c r="R3" i="1"/>
  <c r="R15" i="1"/>
  <c r="O9" i="1"/>
  <c r="I10" i="1"/>
  <c r="H10" i="1" s="1"/>
  <c r="I23" i="1"/>
  <c r="I4" i="1"/>
  <c r="H4" i="1" s="1"/>
  <c r="I17" i="1"/>
  <c r="H17" i="1" s="1"/>
  <c r="O12" i="1"/>
  <c r="N12" i="1" s="1"/>
  <c r="R11" i="1"/>
  <c r="E13" i="1"/>
  <c r="D13" i="1" s="1"/>
  <c r="E26" i="1"/>
  <c r="D26" i="1" s="1"/>
  <c r="R9" i="1"/>
  <c r="E33" i="1"/>
  <c r="D33" i="1" s="1"/>
  <c r="E21" i="1"/>
  <c r="D21" i="1" s="1"/>
  <c r="I15" i="1"/>
  <c r="Y15" i="1" s="1"/>
  <c r="I28" i="1"/>
  <c r="H28" i="1" s="1"/>
  <c r="I20" i="1"/>
  <c r="Y20" i="1" s="1"/>
  <c r="B22" i="8"/>
  <c r="C22" i="8" s="1"/>
  <c r="O7" i="1"/>
  <c r="N7" i="1" s="1"/>
  <c r="R23" i="1"/>
  <c r="I5" i="1"/>
  <c r="H5" i="1" s="1"/>
  <c r="R12" i="1"/>
  <c r="R6" i="1"/>
  <c r="E4" i="1"/>
  <c r="D4" i="1" s="1"/>
  <c r="I13" i="1"/>
  <c r="H13" i="1" s="1"/>
  <c r="R24" i="1"/>
  <c r="I9" i="1"/>
  <c r="H9" i="1" s="1"/>
  <c r="R4" i="1"/>
  <c r="E11" i="1"/>
  <c r="D11" i="1" s="1"/>
  <c r="L3" i="11"/>
  <c r="AA28" i="1"/>
  <c r="AB28" i="1"/>
  <c r="U28" i="1"/>
  <c r="O10" i="1"/>
  <c r="N10" i="1" s="1"/>
  <c r="E7" i="1"/>
  <c r="D7" i="1" s="1"/>
  <c r="B53" i="8"/>
  <c r="C53" i="8" s="1"/>
  <c r="B61" i="8"/>
  <c r="D61" i="8" s="1"/>
  <c r="R7" i="1"/>
  <c r="B74" i="8"/>
  <c r="C74" i="8" s="1"/>
  <c r="L2" i="9"/>
  <c r="B50" i="8"/>
  <c r="C50" i="8" s="1"/>
  <c r="B73" i="8"/>
  <c r="D73" i="8" s="1"/>
  <c r="E28" i="1"/>
  <c r="D28" i="1" s="1"/>
  <c r="L12" i="10"/>
  <c r="B52" i="8"/>
  <c r="C52" i="8" s="1"/>
  <c r="B57" i="8"/>
  <c r="C57" i="8" s="1"/>
  <c r="R28" i="1"/>
  <c r="R19" i="1"/>
  <c r="O35" i="1"/>
  <c r="N35" i="1" s="1"/>
  <c r="O20" i="1"/>
  <c r="AD10" i="1"/>
  <c r="E35" i="1"/>
  <c r="D35" i="1" s="1"/>
  <c r="I33" i="1"/>
  <c r="H33" i="1" s="1"/>
  <c r="I24" i="1"/>
  <c r="H24" i="1" s="1"/>
  <c r="I12" i="1"/>
  <c r="H12" i="1" s="1"/>
  <c r="B13" i="8"/>
  <c r="C13" i="8" s="1"/>
  <c r="B56" i="8"/>
  <c r="C56" i="8" s="1"/>
  <c r="O17" i="1"/>
  <c r="N17" i="1" s="1"/>
  <c r="B62" i="8"/>
  <c r="D62" i="8" s="1"/>
  <c r="R13" i="1"/>
  <c r="B75" i="8"/>
  <c r="D75" i="8" s="1"/>
  <c r="B76" i="8"/>
  <c r="C76" i="8" s="1"/>
  <c r="O28" i="1"/>
  <c r="N28" i="1" s="1"/>
  <c r="L9" i="9"/>
  <c r="AB19" i="1"/>
  <c r="L8" i="10"/>
  <c r="L6" i="9"/>
  <c r="O15" i="1"/>
  <c r="N15" i="1" s="1"/>
  <c r="R29" i="1"/>
  <c r="E29" i="1"/>
  <c r="D29" i="1" s="1"/>
  <c r="O5" i="1"/>
  <c r="N5" i="1" s="1"/>
  <c r="I26" i="1"/>
  <c r="H26" i="1" s="1"/>
  <c r="V28" i="1"/>
  <c r="B11" i="8"/>
  <c r="C11" i="8" s="1"/>
  <c r="O30" i="1"/>
  <c r="N30" i="1" s="1"/>
  <c r="I3" i="1"/>
  <c r="I21" i="1"/>
  <c r="H21" i="1" s="1"/>
  <c r="I30" i="1"/>
  <c r="H30" i="1" s="1"/>
  <c r="E20" i="1"/>
  <c r="E23" i="1"/>
  <c r="D23" i="1" s="1"/>
  <c r="O3" i="1"/>
  <c r="B34" i="8"/>
  <c r="D34" i="8" s="1"/>
  <c r="E10" i="1"/>
  <c r="D10" i="1" s="1"/>
  <c r="B37" i="8"/>
  <c r="C37" i="8" s="1"/>
  <c r="E30" i="1"/>
  <c r="D30" i="1" s="1"/>
  <c r="E5" i="1"/>
  <c r="D5" i="1" s="1"/>
  <c r="I7" i="1"/>
  <c r="O13" i="1"/>
  <c r="N13" i="1" s="1"/>
  <c r="E24" i="1"/>
  <c r="D24" i="1" s="1"/>
  <c r="B17" i="8"/>
  <c r="O21" i="1"/>
  <c r="I6" i="1"/>
  <c r="H6" i="1" s="1"/>
  <c r="B36" i="8"/>
  <c r="O23" i="1"/>
  <c r="N23" i="1" s="1"/>
  <c r="O33" i="1"/>
  <c r="N33" i="1" s="1"/>
  <c r="O19" i="1"/>
  <c r="N19" i="1" s="1"/>
  <c r="R35" i="1"/>
  <c r="R20" i="1"/>
  <c r="R30" i="1"/>
  <c r="X22" i="1" l="1"/>
  <c r="E15" i="1"/>
  <c r="D15" i="1" s="1"/>
  <c r="D22" i="1"/>
  <c r="Y27" i="1"/>
  <c r="E17" i="1"/>
  <c r="D17" i="1" s="1"/>
  <c r="Y25" i="1"/>
  <c r="Z25" i="1"/>
  <c r="X25" i="1"/>
  <c r="N22" i="1"/>
  <c r="Y22" i="1"/>
  <c r="Z27" i="1"/>
  <c r="E6" i="1"/>
  <c r="D6" i="1" s="1"/>
  <c r="B3" i="8" s="1"/>
  <c r="Z34" i="1"/>
  <c r="Z18" i="1"/>
  <c r="B46" i="8"/>
  <c r="D46" i="8" s="1"/>
  <c r="B7" i="8"/>
  <c r="C7" i="8" s="1"/>
  <c r="Y16" i="1"/>
  <c r="D3" i="1"/>
  <c r="U6" i="1"/>
  <c r="B45" i="8"/>
  <c r="C45" i="8" s="1"/>
  <c r="X12" i="1"/>
  <c r="U21" i="1"/>
  <c r="X21" i="1" s="1"/>
  <c r="AA20" i="1"/>
  <c r="X4" i="1"/>
  <c r="X11" i="1"/>
  <c r="X7" i="1"/>
  <c r="U34" i="1"/>
  <c r="X34" i="1" s="1"/>
  <c r="X18" i="1"/>
  <c r="Y34" i="1"/>
  <c r="X5" i="1"/>
  <c r="X8" i="1"/>
  <c r="X16" i="1"/>
  <c r="AB34" i="1"/>
  <c r="Y18" i="1"/>
  <c r="AB6" i="1"/>
  <c r="AA6" i="1"/>
  <c r="AB9" i="1"/>
  <c r="U9" i="1"/>
  <c r="X9" i="1" s="1"/>
  <c r="Z16" i="1"/>
  <c r="H16" i="1"/>
  <c r="X3" i="1"/>
  <c r="AB31" i="1"/>
  <c r="U31" i="1"/>
  <c r="X31" i="1" s="1"/>
  <c r="U17" i="1"/>
  <c r="X17" i="1" s="1"/>
  <c r="AA17" i="1"/>
  <c r="AB17" i="1"/>
  <c r="Y31" i="1"/>
  <c r="D31" i="1"/>
  <c r="N11" i="1"/>
  <c r="Z11" i="1"/>
  <c r="AA13" i="1"/>
  <c r="AB13" i="1"/>
  <c r="U13" i="1"/>
  <c r="X13" i="1" s="1"/>
  <c r="AA32" i="1"/>
  <c r="U32" i="1"/>
  <c r="X32" i="1" s="1"/>
  <c r="N32" i="1"/>
  <c r="Y32" i="1"/>
  <c r="Y23" i="1"/>
  <c r="D32" i="1"/>
  <c r="Y35" i="1"/>
  <c r="X19" i="1"/>
  <c r="X20" i="1"/>
  <c r="Z23" i="1"/>
  <c r="N26" i="1"/>
  <c r="Z26" i="1"/>
  <c r="Z24" i="1"/>
  <c r="Z19" i="1"/>
  <c r="N21" i="1"/>
  <c r="Z21" i="1"/>
  <c r="N20" i="1"/>
  <c r="Z20" i="1"/>
  <c r="Z6" i="1"/>
  <c r="Z5" i="1"/>
  <c r="Z4" i="1"/>
  <c r="Z12" i="1"/>
  <c r="Z15" i="1"/>
  <c r="Z3" i="1"/>
  <c r="Z8" i="1"/>
  <c r="Z7" i="1"/>
  <c r="Z10" i="1"/>
  <c r="Z9" i="1"/>
  <c r="AB21" i="1"/>
  <c r="U10" i="1"/>
  <c r="X10" i="1" s="1"/>
  <c r="AA24" i="1"/>
  <c r="AB24" i="1"/>
  <c r="U24" i="1"/>
  <c r="X24" i="1" s="1"/>
  <c r="AB15" i="1"/>
  <c r="AB10" i="1"/>
  <c r="AA10" i="1"/>
  <c r="U26" i="1"/>
  <c r="X26" i="1" s="1"/>
  <c r="AB26" i="1"/>
  <c r="AA23" i="1"/>
  <c r="AB23" i="1"/>
  <c r="U23" i="1"/>
  <c r="X23" i="1" s="1"/>
  <c r="U15" i="1"/>
  <c r="X15" i="1" s="1"/>
  <c r="AA15" i="1"/>
  <c r="Y8" i="1"/>
  <c r="B26" i="8"/>
  <c r="C26" i="8" s="1"/>
  <c r="N6" i="1"/>
  <c r="Y7" i="1"/>
  <c r="B65" i="8"/>
  <c r="C65" i="8" s="1"/>
  <c r="Y11" i="1"/>
  <c r="Y19" i="1"/>
  <c r="H23" i="1"/>
  <c r="Y28" i="1"/>
  <c r="Y10" i="1"/>
  <c r="C73" i="8"/>
  <c r="C35" i="8"/>
  <c r="C75" i="8"/>
  <c r="N9" i="1"/>
  <c r="H11" i="1"/>
  <c r="Y9" i="1"/>
  <c r="D50" i="8"/>
  <c r="B33" i="8"/>
  <c r="D33" i="8" s="1"/>
  <c r="Y26" i="1"/>
  <c r="Y13" i="1"/>
  <c r="D74" i="8"/>
  <c r="X33" i="1"/>
  <c r="Y33" i="1"/>
  <c r="Y5" i="1"/>
  <c r="Y12" i="1"/>
  <c r="Y29" i="1"/>
  <c r="C34" i="8"/>
  <c r="Z28" i="1"/>
  <c r="D22" i="8"/>
  <c r="Y21" i="1"/>
  <c r="Y30" i="1"/>
  <c r="H15" i="1"/>
  <c r="B10" i="8"/>
  <c r="B16" i="8"/>
  <c r="D16" i="8" s="1"/>
  <c r="Y6" i="1"/>
  <c r="C51" i="8"/>
  <c r="B25" i="8"/>
  <c r="C25" i="8" s="1"/>
  <c r="X28" i="1"/>
  <c r="B21" i="8"/>
  <c r="Y24" i="1"/>
  <c r="B20" i="8"/>
  <c r="Y17" i="1"/>
  <c r="H7" i="1"/>
  <c r="Y4" i="1"/>
  <c r="D76" i="8"/>
  <c r="B19" i="8"/>
  <c r="C19" i="8" s="1"/>
  <c r="D12" i="8"/>
  <c r="C61" i="8"/>
  <c r="D53" i="8"/>
  <c r="B9" i="8"/>
  <c r="C9" i="8" s="1"/>
  <c r="H20" i="1"/>
  <c r="C62" i="8"/>
  <c r="B60" i="8"/>
  <c r="D37" i="8"/>
  <c r="B72" i="8"/>
  <c r="B32" i="8"/>
  <c r="B58" i="8"/>
  <c r="D58" i="8" s="1"/>
  <c r="X29" i="1"/>
  <c r="X35" i="1"/>
  <c r="C23" i="8"/>
  <c r="D52" i="8"/>
  <c r="D56" i="8"/>
  <c r="X30" i="1"/>
  <c r="Z13" i="1"/>
  <c r="D13" i="8"/>
  <c r="B64" i="8"/>
  <c r="C18" i="8"/>
  <c r="D57" i="8"/>
  <c r="B49" i="8"/>
  <c r="B71" i="8"/>
  <c r="C71" i="8" s="1"/>
  <c r="B55" i="8"/>
  <c r="C55" i="8" s="1"/>
  <c r="B43" i="8"/>
  <c r="D43" i="8" s="1"/>
  <c r="N3" i="1"/>
  <c r="D20" i="1"/>
  <c r="D11" i="8"/>
  <c r="D36" i="8"/>
  <c r="C36" i="8"/>
  <c r="D17" i="8"/>
  <c r="C17" i="8"/>
  <c r="Y3" i="1"/>
  <c r="H3" i="1"/>
  <c r="B59" i="8"/>
  <c r="B48" i="8"/>
  <c r="C48" i="8" s="1"/>
  <c r="C14" i="8"/>
  <c r="X6" i="1" l="1"/>
  <c r="B5" i="8"/>
  <c r="B44" i="8"/>
  <c r="D7" i="8"/>
  <c r="C46" i="8"/>
  <c r="B4" i="8"/>
  <c r="D4" i="8" s="1"/>
  <c r="D45" i="8"/>
  <c r="D6" i="8"/>
  <c r="B42" i="8"/>
  <c r="C42" i="8" s="1"/>
  <c r="D65" i="8"/>
  <c r="D26" i="8"/>
  <c r="B63" i="8"/>
  <c r="D63" i="8" s="1"/>
  <c r="B70" i="8"/>
  <c r="D70" i="8" s="1"/>
  <c r="B31" i="8"/>
  <c r="C31" i="8" s="1"/>
  <c r="B30" i="8"/>
  <c r="C30" i="8" s="1"/>
  <c r="B27" i="8"/>
  <c r="B69" i="8"/>
  <c r="D69" i="8" s="1"/>
  <c r="B24" i="8"/>
  <c r="D24" i="8" s="1"/>
  <c r="C33" i="8"/>
  <c r="B29" i="8"/>
  <c r="C29" i="8" s="1"/>
  <c r="C16" i="8"/>
  <c r="B68" i="8"/>
  <c r="C68" i="8" s="1"/>
  <c r="C58" i="8"/>
  <c r="D9" i="8"/>
  <c r="D25" i="8"/>
  <c r="D55" i="8"/>
  <c r="C43" i="8"/>
  <c r="B54" i="8"/>
  <c r="C54" i="8" s="1"/>
  <c r="B67" i="8"/>
  <c r="C67" i="8" s="1"/>
  <c r="D19" i="8"/>
  <c r="B47" i="8"/>
  <c r="C47" i="8" s="1"/>
  <c r="C72" i="8"/>
  <c r="D72" i="8"/>
  <c r="B8" i="8"/>
  <c r="C8" i="8" s="1"/>
  <c r="C64" i="8"/>
  <c r="D64" i="8"/>
  <c r="D32" i="8"/>
  <c r="C32" i="8"/>
  <c r="B28" i="8"/>
  <c r="C28" i="8" s="1"/>
  <c r="D71" i="8"/>
  <c r="B15" i="8"/>
  <c r="C15" i="8" s="1"/>
  <c r="D48" i="8"/>
  <c r="C3" i="8"/>
  <c r="D3" i="8"/>
  <c r="C4" i="8" l="1"/>
  <c r="D42" i="8"/>
  <c r="C70" i="8"/>
  <c r="C63" i="8"/>
  <c r="D31" i="8"/>
  <c r="D30" i="8"/>
  <c r="B66" i="8"/>
  <c r="D66" i="8" s="1"/>
  <c r="C24" i="8"/>
  <c r="C69" i="8"/>
  <c r="D67" i="8"/>
  <c r="D29" i="8"/>
  <c r="D54" i="8"/>
  <c r="D15" i="8"/>
  <c r="D68" i="8"/>
  <c r="D8" i="8"/>
  <c r="D47" i="8"/>
  <c r="D28" i="8"/>
  <c r="C27" i="8"/>
  <c r="D27" i="8"/>
  <c r="C66" i="8" l="1"/>
</calcChain>
</file>

<file path=xl/sharedStrings.xml><?xml version="1.0" encoding="utf-8"?>
<sst xmlns="http://schemas.openxmlformats.org/spreadsheetml/2006/main" count="759" uniqueCount="159">
  <si>
    <t>Team</t>
  </si>
  <si>
    <t>Loss</t>
  </si>
  <si>
    <t>Win</t>
  </si>
  <si>
    <t>PO Loss</t>
  </si>
  <si>
    <t>Lg Win</t>
  </si>
  <si>
    <t>PO Win</t>
  </si>
  <si>
    <t>Lg Loss</t>
  </si>
  <si>
    <t>Steel Curtain</t>
  </si>
  <si>
    <t>Manager</t>
  </si>
  <si>
    <t>J. Ross</t>
  </si>
  <si>
    <t>KC Masterpiece</t>
  </si>
  <si>
    <t>J. Howard</t>
  </si>
  <si>
    <t>White Trash</t>
  </si>
  <si>
    <t>S. Worsley</t>
  </si>
  <si>
    <t>Rob's Browns</t>
  </si>
  <si>
    <t>R. Tessmer</t>
  </si>
  <si>
    <t>Wizards</t>
  </si>
  <si>
    <t>R. Patch</t>
  </si>
  <si>
    <t>Jersey Boyz</t>
  </si>
  <si>
    <t>A. Haszko</t>
  </si>
  <si>
    <t>Rank</t>
  </si>
  <si>
    <t>RS Tot Pts</t>
  </si>
  <si>
    <t>Tot Pts</t>
  </si>
  <si>
    <t>PO Pts</t>
  </si>
  <si>
    <t>RS Win</t>
  </si>
  <si>
    <t>RS Loss</t>
  </si>
  <si>
    <t>Wk Pts High</t>
  </si>
  <si>
    <t>-</t>
  </si>
  <si>
    <t>Baycity Pimps</t>
  </si>
  <si>
    <t>Jacksonville Bulls</t>
  </si>
  <si>
    <t>Your Team Sucks</t>
  </si>
  <si>
    <t>Dawn Patrol</t>
  </si>
  <si>
    <t>GMONEY</t>
  </si>
  <si>
    <t>Untouchables</t>
  </si>
  <si>
    <t>BlindBallers</t>
  </si>
  <si>
    <t>Ass Clowns</t>
  </si>
  <si>
    <t>Mighteeee WOPS</t>
  </si>
  <si>
    <t>Z. Hosie</t>
  </si>
  <si>
    <t>B. Glossman</t>
  </si>
  <si>
    <t>M. Walch</t>
  </si>
  <si>
    <t>G. Waddell</t>
  </si>
  <si>
    <t>D. Adam</t>
  </si>
  <si>
    <t>J. Bellomo</t>
  </si>
  <si>
    <t>Shoe Up Biatch</t>
  </si>
  <si>
    <t>Knightmare</t>
  </si>
  <si>
    <t>Rabid Otters</t>
  </si>
  <si>
    <t>BGMONEY</t>
  </si>
  <si>
    <t>Chargers</t>
  </si>
  <si>
    <t>W. Hotchkiss</t>
  </si>
  <si>
    <t>Wk Pts Low</t>
  </si>
  <si>
    <t>DawgPound</t>
  </si>
  <si>
    <t>Week 17 Sucks</t>
  </si>
  <si>
    <t>Juices are Wild</t>
  </si>
  <si>
    <t>Da Romanators</t>
  </si>
  <si>
    <t>Screaming Iggles</t>
  </si>
  <si>
    <t>The Hairy Buffaloes</t>
  </si>
  <si>
    <t>BGMoney</t>
  </si>
  <si>
    <t>02TIGER</t>
  </si>
  <si>
    <t>Big Dick Micks</t>
  </si>
  <si>
    <t>R. Northcut</t>
  </si>
  <si>
    <t>burns32958</t>
  </si>
  <si>
    <t>A. Daleo</t>
  </si>
  <si>
    <t>J. Lesko</t>
  </si>
  <si>
    <t>DONK</t>
  </si>
  <si>
    <t>Chuck Norris</t>
  </si>
  <si>
    <t>Always Next Year</t>
  </si>
  <si>
    <t>GMONEY MONGERS</t>
  </si>
  <si>
    <t>Worsley Suck Balls</t>
  </si>
  <si>
    <t>Highbury Hilltakers</t>
  </si>
  <si>
    <t>Crazy Juice</t>
  </si>
  <si>
    <t>P. Townsend</t>
  </si>
  <si>
    <t>TO Sucks</t>
  </si>
  <si>
    <t>Year of the Juice</t>
  </si>
  <si>
    <t>Boca Jabronis</t>
  </si>
  <si>
    <t>Knight Train</t>
  </si>
  <si>
    <t>AZ OR BUST FOR BIRDS</t>
  </si>
  <si>
    <t>J. Druskis</t>
  </si>
  <si>
    <t>E. Rausher</t>
  </si>
  <si>
    <t>RS Win %</t>
  </si>
  <si>
    <t>PO Win %</t>
  </si>
  <si>
    <t>Total Games</t>
  </si>
  <si>
    <t>Total Win %</t>
  </si>
  <si>
    <t>Total RS Games</t>
  </si>
  <si>
    <t>Total PO Games</t>
  </si>
  <si>
    <t>LG Win</t>
  </si>
  <si>
    <t>LG Loss</t>
  </si>
  <si>
    <t>Total LG Points</t>
  </si>
  <si>
    <t>Total RS Points</t>
  </si>
  <si>
    <t>Total PO Points</t>
  </si>
  <si>
    <t>High RS Points</t>
  </si>
  <si>
    <t>Low RS Points</t>
  </si>
  <si>
    <t>High Week Points</t>
  </si>
  <si>
    <t>Low Week Points</t>
  </si>
  <si>
    <t>High LG Points</t>
  </si>
  <si>
    <t>Low LG Points</t>
  </si>
  <si>
    <t>Category</t>
  </si>
  <si>
    <t>Record</t>
  </si>
  <si>
    <t>Total RS Win</t>
  </si>
  <si>
    <t>Total RS Loss</t>
  </si>
  <si>
    <t>High RS Win</t>
  </si>
  <si>
    <t>Low RS Loss</t>
  </si>
  <si>
    <t>Total Loss</t>
  </si>
  <si>
    <t>Total Win</t>
  </si>
  <si>
    <t>High PO Points</t>
  </si>
  <si>
    <t>Low PO Points</t>
  </si>
  <si>
    <t>PO Pts High</t>
  </si>
  <si>
    <t>PO Pts Low</t>
  </si>
  <si>
    <t># of Columns to Count</t>
  </si>
  <si>
    <t>Donovan's Bald Eagle</t>
  </si>
  <si>
    <t>Juiceman</t>
  </si>
  <si>
    <t>Redemption</t>
  </si>
  <si>
    <t>A. Monnot</t>
  </si>
  <si>
    <t>R. Pensy</t>
  </si>
  <si>
    <t>Million Dollar Dream</t>
  </si>
  <si>
    <t>The Heenan Family</t>
  </si>
  <si>
    <t>See full stats on League worksheet</t>
  </si>
  <si>
    <t>Total LG Seasons</t>
  </si>
  <si>
    <t>3 Seasons or Less</t>
  </si>
  <si>
    <t>4 Seasons or More</t>
  </si>
  <si>
    <t>Minimum of 4 Seasons</t>
  </si>
  <si>
    <t>All Seasons</t>
  </si>
  <si>
    <t>Obama Llamas</t>
  </si>
  <si>
    <t>Avg LG Pts/Gm</t>
  </si>
  <si>
    <t>Avg RS Pts/Gm</t>
  </si>
  <si>
    <t>Avg PO Pts/Gm</t>
  </si>
  <si>
    <t>UrDaddy</t>
  </si>
  <si>
    <t>Hide Your Dogs!</t>
  </si>
  <si>
    <t>Itchy Buchholz</t>
  </si>
  <si>
    <t>tigers</t>
  </si>
  <si>
    <t>J. Lasseigne</t>
  </si>
  <si>
    <t>McNabbless</t>
  </si>
  <si>
    <t>John??</t>
  </si>
  <si>
    <t>G. Ariko</t>
  </si>
  <si>
    <t>Suck My Ditka</t>
  </si>
  <si>
    <t>N. Pinckard</t>
  </si>
  <si>
    <t>iggles suck (for now)</t>
  </si>
  <si>
    <t>Gridiron</t>
  </si>
  <si>
    <t>S. Williams</t>
  </si>
  <si>
    <t>Juicemen</t>
  </si>
  <si>
    <t>Your Mother's Keeper</t>
  </si>
  <si>
    <t>DY-NASTY</t>
  </si>
  <si>
    <t>Red Gators</t>
  </si>
  <si>
    <t>C. Cegala</t>
  </si>
  <si>
    <t>BGMoney II</t>
  </si>
  <si>
    <t>Boom Town</t>
  </si>
  <si>
    <t>Show Me Your TDs</t>
  </si>
  <si>
    <t>Bus Driver</t>
  </si>
  <si>
    <t>J. Van Horn</t>
  </si>
  <si>
    <t>E. Rosenberg</t>
  </si>
  <si>
    <t>Saints Star</t>
  </si>
  <si>
    <t>Champions</t>
  </si>
  <si>
    <t>L33t $killz</t>
  </si>
  <si>
    <t>C. Osborne</t>
  </si>
  <si>
    <t>Primetime</t>
  </si>
  <si>
    <t>D. Humphrey</t>
  </si>
  <si>
    <t>Victorious Secret</t>
  </si>
  <si>
    <t>R. Monteiro</t>
  </si>
  <si>
    <t>Florida Fighters</t>
  </si>
  <si>
    <t>DawgPound Dynasty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</si>
</sst>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</fills>
  <borders count="1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Border="1"/>
    <xf numFmtId="10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 wrapText="1"/>
    </xf>
    <xf numFmtId="10" fontId="0" fillId="0" borderId="0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0" fillId="0" borderId="0" xfId="0" applyFill="1"/>
    <xf numFmtId="0" fontId="0" fillId="0" borderId="3" xfId="0" applyFill="1" applyBorder="1" applyAlignment="1">
      <alignment vertical="center"/>
    </xf>
    <xf numFmtId="0" fontId="0" fillId="0" borderId="1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15" xfId="0" applyFill="1" applyBorder="1"/>
    <xf numFmtId="0" fontId="0" fillId="4" borderId="0" xfId="0" applyFill="1" applyBorder="1" applyAlignment="1">
      <alignment horizontal="center"/>
    </xf>
    <xf numFmtId="0" fontId="0" fillId="4" borderId="8" xfId="0" applyFill="1" applyBorder="1"/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9" xfId="0" applyFill="1" applyBorder="1" applyAlignment="1">
      <alignment vertical="center" wrapText="1"/>
    </xf>
    <xf numFmtId="10" fontId="0" fillId="3" borderId="9" xfId="0" applyNumberFormat="1" applyFill="1" applyBorder="1" applyAlignment="1">
      <alignment horizontal="center" vertical="center" wrapText="1"/>
    </xf>
    <xf numFmtId="0" fontId="0" fillId="3" borderId="9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0" fontId="0" fillId="0" borderId="6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10" fontId="0" fillId="0" borderId="9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4" xfId="0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workbookViewId="0">
      <pane ySplit="12810" topLeftCell="A61"/>
      <selection sqref="A1:D1"/>
      <selection pane="bottomLeft" activeCell="D82" sqref="D82"/>
    </sheetView>
  </sheetViews>
  <sheetFormatPr defaultRowHeight="12.75" x14ac:dyDescent="0.2"/>
  <cols>
    <col min="1" max="1" width="21.140625" customWidth="1"/>
    <col min="2" max="2" width="9.28515625" style="1" bestFit="1" customWidth="1"/>
    <col min="3" max="3" width="23" style="1" bestFit="1" customWidth="1"/>
    <col min="4" max="4" width="12.28515625" bestFit="1" customWidth="1"/>
    <col min="5" max="5" width="12.28515625" customWidth="1"/>
    <col min="6" max="6" width="32.5703125" bestFit="1" customWidth="1"/>
  </cols>
  <sheetData>
    <row r="1" spans="1:10" ht="13.5" thickBot="1" x14ac:dyDescent="0.25">
      <c r="A1" s="85" t="s">
        <v>119</v>
      </c>
      <c r="B1" s="86"/>
      <c r="C1" s="86"/>
      <c r="D1" s="87"/>
      <c r="E1" s="3"/>
      <c r="F1" s="3"/>
      <c r="I1" t="s">
        <v>107</v>
      </c>
      <c r="J1">
        <v>35</v>
      </c>
    </row>
    <row r="2" spans="1:10" ht="13.5" thickBot="1" x14ac:dyDescent="0.25">
      <c r="A2" s="2" t="s">
        <v>95</v>
      </c>
      <c r="B2" s="2" t="s">
        <v>96</v>
      </c>
      <c r="C2" s="2" t="s">
        <v>0</v>
      </c>
      <c r="D2" s="2" t="s">
        <v>8</v>
      </c>
      <c r="E2" s="1"/>
      <c r="F2" s="5"/>
    </row>
    <row r="3" spans="1:10" ht="13.5" thickBot="1" x14ac:dyDescent="0.25">
      <c r="A3" s="6" t="str">
        <f>League!D1</f>
        <v>Total Win %</v>
      </c>
      <c r="B3" s="7">
        <f>MAX(League!D2:D14)</f>
        <v>0.64347826086956517</v>
      </c>
      <c r="C3" s="8" t="str">
        <f>VLOOKUP(B3,League!D:AK,J1-1,FALSE)</f>
        <v>Wizards</v>
      </c>
      <c r="D3" s="9" t="str">
        <f>VLOOKUP(B3,League!D:AL,J1,FALSE)</f>
        <v>R. Patch</v>
      </c>
      <c r="E3" s="1"/>
      <c r="F3" s="5"/>
    </row>
    <row r="4" spans="1:10" x14ac:dyDescent="0.2">
      <c r="A4" s="89" t="str">
        <f>League!E1</f>
        <v>Total Games</v>
      </c>
      <c r="B4" s="18">
        <f>MAX(League!E2:E14)</f>
        <v>230</v>
      </c>
      <c r="C4" s="13" t="str">
        <f>VLOOKUP(B4,League!E:AK,J1-2,FALSE)</f>
        <v>Wizards</v>
      </c>
      <c r="D4" s="14" t="str">
        <f>VLOOKUP(B4,League!E:AL,J1-1,FALSE)</f>
        <v>R. Patch</v>
      </c>
      <c r="E4" s="1"/>
      <c r="F4" s="5"/>
    </row>
    <row r="5" spans="1:10" ht="13.5" thickBot="1" x14ac:dyDescent="0.25">
      <c r="A5" s="90"/>
      <c r="B5" s="19">
        <f>MAX(League!E2:E14)</f>
        <v>230</v>
      </c>
      <c r="C5" s="16" t="str">
        <f>League!B4</f>
        <v>DawgPound</v>
      </c>
      <c r="D5" s="17" t="str">
        <f>League!C4</f>
        <v>R. Tessmer</v>
      </c>
      <c r="E5" s="1"/>
      <c r="F5" s="4" t="s">
        <v>115</v>
      </c>
    </row>
    <row r="6" spans="1:10" ht="13.5" thickBot="1" x14ac:dyDescent="0.25">
      <c r="A6" s="39" t="str">
        <f>League!F1</f>
        <v>Total Win</v>
      </c>
      <c r="B6" s="40">
        <f>MAX(League!F2:F14)</f>
        <v>148</v>
      </c>
      <c r="C6" s="40" t="str">
        <f>VLOOKUP(B6,League!F:AK,J1-3,FALSE)</f>
        <v>Wizards</v>
      </c>
      <c r="D6" s="41" t="str">
        <f>VLOOKUP(B45,League!F:AL,J1-2,FALSE)</f>
        <v>R. Patch</v>
      </c>
      <c r="E6" s="1"/>
      <c r="F6" s="1"/>
    </row>
    <row r="7" spans="1:10" ht="13.5" thickBot="1" x14ac:dyDescent="0.25">
      <c r="A7" s="12" t="str">
        <f>League!G1</f>
        <v>Total Loss</v>
      </c>
      <c r="B7" s="10">
        <f>MIN(League!G2:G14)</f>
        <v>36</v>
      </c>
      <c r="C7" s="10" t="str">
        <f>VLOOKUP(B7,League!G:AK,J1-4,FALSE)</f>
        <v>The Heenan Family</v>
      </c>
      <c r="D7" s="11" t="str">
        <f>VLOOKUP(B7,League!G:AL,J1-3,FALSE)</f>
        <v>R. Pensy</v>
      </c>
      <c r="E7" s="1"/>
      <c r="F7" s="1"/>
    </row>
    <row r="8" spans="1:10" ht="13.5" thickBot="1" x14ac:dyDescent="0.25">
      <c r="A8" s="6" t="str">
        <f>League!H1</f>
        <v>RS Win %</v>
      </c>
      <c r="B8" s="7">
        <f>MAX(League!H2:H14)</f>
        <v>0.64583333333333337</v>
      </c>
      <c r="C8" s="8" t="str">
        <f>VLOOKUP(B8,League!H:AK,J1-5,FALSE)</f>
        <v>Wizards</v>
      </c>
      <c r="D8" s="9" t="str">
        <f>VLOOKUP(B8,League!H:AL,J1-4,FALSE)</f>
        <v>R. Patch</v>
      </c>
      <c r="E8" s="1"/>
      <c r="F8" s="1"/>
    </row>
    <row r="9" spans="1:10" ht="13.5" thickBot="1" x14ac:dyDescent="0.25">
      <c r="A9" s="88" t="str">
        <f>League!I1</f>
        <v>Total RS Games</v>
      </c>
      <c r="B9" s="13">
        <f>MAX(League!I2:I14)</f>
        <v>192</v>
      </c>
      <c r="C9" s="13" t="str">
        <f>VLOOKUP(B9,League!I:AK,J1-6,FALSE)</f>
        <v>Wizards</v>
      </c>
      <c r="D9" s="14" t="str">
        <f>VLOOKUP(B9,League!I:AL,J1-5,FALSE)</f>
        <v>R. Patch</v>
      </c>
      <c r="E9" s="1"/>
      <c r="F9" s="1"/>
    </row>
    <row r="10" spans="1:10" ht="13.5" thickBot="1" x14ac:dyDescent="0.25">
      <c r="A10" s="88"/>
      <c r="B10" s="16">
        <f>MAX(League!I2:I14)</f>
        <v>192</v>
      </c>
      <c r="C10" s="16" t="str">
        <f>League!B8</f>
        <v>Rabid Otters</v>
      </c>
      <c r="D10" s="17" t="str">
        <f>League!C8</f>
        <v>S. Worsley</v>
      </c>
      <c r="E10" s="1"/>
      <c r="F10" s="1"/>
    </row>
    <row r="11" spans="1:10" ht="13.5" thickBot="1" x14ac:dyDescent="0.25">
      <c r="A11" s="6" t="str">
        <f>League!J1</f>
        <v>Total RS Win</v>
      </c>
      <c r="B11" s="8">
        <f>MAX(League!J2:J14)</f>
        <v>124</v>
      </c>
      <c r="C11" s="8" t="str">
        <f>VLOOKUP(B11,League!J:AK,J1-7,FALSE)</f>
        <v>Wizards</v>
      </c>
      <c r="D11" s="9" t="str">
        <f>VLOOKUP(B11,League!J:AL,J1-6,FALSE)</f>
        <v>R. Patch</v>
      </c>
      <c r="E11" s="1"/>
      <c r="F11" s="1"/>
    </row>
    <row r="12" spans="1:10" ht="13.5" thickBot="1" x14ac:dyDescent="0.25">
      <c r="A12" s="12" t="str">
        <f>League!K1</f>
        <v>Total RS Loss</v>
      </c>
      <c r="B12" s="10">
        <f>MIN(League!K2:K14)</f>
        <v>32</v>
      </c>
      <c r="C12" s="10" t="str">
        <f>VLOOKUP(B12,League!K:AK,J1-8,FALSE)</f>
        <v>Obama Llamas</v>
      </c>
      <c r="D12" s="11" t="str">
        <f>VLOOKUP(B12,League!K:AL,J1-7,FALSE)</f>
        <v>W. Hotchkiss</v>
      </c>
      <c r="E12" s="1"/>
      <c r="F12" s="1"/>
    </row>
    <row r="13" spans="1:10" ht="13.5" thickBot="1" x14ac:dyDescent="0.25">
      <c r="A13" s="38" t="str">
        <f>League!L1</f>
        <v>High RS Win</v>
      </c>
      <c r="B13" s="13">
        <f>MAX(League!L2:L14)</f>
        <v>13</v>
      </c>
      <c r="C13" s="13" t="str">
        <f>VLOOKUP(B13,League!L:AK,J1-9,FALSE)</f>
        <v>Wizards</v>
      </c>
      <c r="D13" s="14" t="str">
        <f>VLOOKUP(B13,League!L:AL,J1-8,FALSE)</f>
        <v>R. Patch</v>
      </c>
      <c r="E13" s="1"/>
      <c r="F13" s="1"/>
    </row>
    <row r="14" spans="1:10" ht="13.5" thickBot="1" x14ac:dyDescent="0.25">
      <c r="A14" s="23" t="str">
        <f>League!M1</f>
        <v>Low RS Loss</v>
      </c>
      <c r="B14" s="13">
        <f>MIN(League!M2:M14)</f>
        <v>1</v>
      </c>
      <c r="C14" s="13" t="str">
        <f>VLOOKUP(B14,League!M:AK,J1-10,FALSE)</f>
        <v>Wizards</v>
      </c>
      <c r="D14" s="14" t="str">
        <f>VLOOKUP(B14,League!M:AL,J1-9,FALSE)</f>
        <v>R. Patch</v>
      </c>
      <c r="E14" s="1"/>
      <c r="F14" s="1"/>
    </row>
    <row r="15" spans="1:10" ht="13.5" thickBot="1" x14ac:dyDescent="0.25">
      <c r="A15" s="24" t="str">
        <f>League!N1</f>
        <v>PO Win %</v>
      </c>
      <c r="B15" s="20">
        <f>MAX(League!N2:N14)</f>
        <v>0.66666666666666663</v>
      </c>
      <c r="C15" s="21" t="str">
        <f>VLOOKUP(B15,League!N:AK,J1-11,FALSE)</f>
        <v>DawgPound</v>
      </c>
      <c r="D15" s="22" t="str">
        <f>VLOOKUP(B15,League!N:AL,J1-10,FALSE)</f>
        <v>R. Tessmer</v>
      </c>
      <c r="E15" s="1"/>
      <c r="F15" s="1"/>
    </row>
    <row r="16" spans="1:10" ht="13.5" thickBot="1" x14ac:dyDescent="0.25">
      <c r="A16" s="6" t="str">
        <f>League!O1</f>
        <v>Total PO Games</v>
      </c>
      <c r="B16" s="8">
        <f>MAX(League!O2:O14)</f>
        <v>39</v>
      </c>
      <c r="C16" s="8" t="str">
        <f>VLOOKUP(B16,League!O:AK,J1-12,FALSE)</f>
        <v>DawgPound</v>
      </c>
      <c r="D16" s="9" t="str">
        <f>VLOOKUP(B16,League!O:AL,J1-11,FALSE)</f>
        <v>R. Tessmer</v>
      </c>
      <c r="E16" s="1"/>
      <c r="F16" s="1"/>
    </row>
    <row r="17" spans="1:6" ht="13.5" thickBot="1" x14ac:dyDescent="0.25">
      <c r="A17" s="38" t="str">
        <f>League!P1</f>
        <v>PO Win</v>
      </c>
      <c r="B17" s="13">
        <f>MAX(League!P2:P14)</f>
        <v>26</v>
      </c>
      <c r="C17" s="13" t="str">
        <f>VLOOKUP(B17,League!P:AK,J1-13,FALSE)</f>
        <v>DawgPound</v>
      </c>
      <c r="D17" s="14" t="str">
        <f>VLOOKUP(B17,League!P:AL,J1-12,FALSE)</f>
        <v>R. Tessmer</v>
      </c>
      <c r="E17" s="1"/>
      <c r="F17" s="1"/>
    </row>
    <row r="18" spans="1:6" ht="13.5" thickBot="1" x14ac:dyDescent="0.25">
      <c r="A18" s="12" t="str">
        <f>League!Q1</f>
        <v>PO Loss</v>
      </c>
      <c r="B18" s="10">
        <f>MIN(League!Q2:Q14)</f>
        <v>2</v>
      </c>
      <c r="C18" s="10" t="str">
        <f>VLOOKUP(B18,League!Q:AK,J1-14,FALSE)</f>
        <v>The Heenan Family</v>
      </c>
      <c r="D18" s="11" t="str">
        <f>VLOOKUP(B18,League!Q:AL,J1-13,FALSE)</f>
        <v>R. Pensy</v>
      </c>
      <c r="E18" s="1"/>
      <c r="F18" s="1"/>
    </row>
    <row r="19" spans="1:6" ht="13.5" thickBot="1" x14ac:dyDescent="0.25">
      <c r="A19" s="88" t="str">
        <f>League!R1</f>
        <v>Total LG Seasons</v>
      </c>
      <c r="B19" s="13">
        <f>MAX(League!R2:R14)</f>
        <v>14</v>
      </c>
      <c r="C19" s="13" t="str">
        <f>VLOOKUP(B19,League!R:AK,J1-15,FALSE)</f>
        <v>Wizards</v>
      </c>
      <c r="D19" s="14" t="str">
        <f>VLOOKUP(B19,League!R:AL,J1-14,FALSE)</f>
        <v>R. Patch</v>
      </c>
      <c r="E19" s="1"/>
      <c r="F19" s="1"/>
    </row>
    <row r="20" spans="1:6" ht="13.5" thickBot="1" x14ac:dyDescent="0.25">
      <c r="A20" s="88"/>
      <c r="B20" s="5">
        <f>MAX(League!R2:R14)</f>
        <v>14</v>
      </c>
      <c r="C20" s="5" t="str">
        <f>League!B4</f>
        <v>DawgPound</v>
      </c>
      <c r="D20" s="15" t="str">
        <f>League!C4</f>
        <v>R. Tessmer</v>
      </c>
      <c r="E20" s="1"/>
      <c r="F20" s="1"/>
    </row>
    <row r="21" spans="1:6" ht="13.5" thickBot="1" x14ac:dyDescent="0.25">
      <c r="A21" s="88"/>
      <c r="B21" s="16">
        <f>MAX(League!R2:R14)</f>
        <v>14</v>
      </c>
      <c r="C21" s="16" t="str">
        <f>League!B8</f>
        <v>Rabid Otters</v>
      </c>
      <c r="D21" s="17" t="str">
        <f>League!C8</f>
        <v>S. Worsley</v>
      </c>
      <c r="E21" s="1"/>
      <c r="F21" s="1"/>
    </row>
    <row r="22" spans="1:6" ht="13.5" thickBot="1" x14ac:dyDescent="0.25">
      <c r="A22" s="24" t="str">
        <f>League!S1</f>
        <v>LG Win</v>
      </c>
      <c r="B22" s="21">
        <f>MAX(League!S2:S14)</f>
        <v>5</v>
      </c>
      <c r="C22" s="21" t="str">
        <f>VLOOKUP(B22,League!S:AK,J1-16,FALSE)</f>
        <v>DawgPound</v>
      </c>
      <c r="D22" s="22" t="str">
        <f>VLOOKUP(B22,League!S:AL,J1-15,FALSE)</f>
        <v>R. Tessmer</v>
      </c>
      <c r="E22" s="1"/>
      <c r="F22" s="1"/>
    </row>
    <row r="23" spans="1:6" ht="13.5" thickBot="1" x14ac:dyDescent="0.25">
      <c r="A23" s="23" t="str">
        <f>League!T1</f>
        <v>LG Loss</v>
      </c>
      <c r="B23" s="13">
        <f>MIN(League!T2:T14)</f>
        <v>4</v>
      </c>
      <c r="C23" s="13" t="str">
        <f>VLOOKUP(B23,League!T:AK,J1-17,FALSE)</f>
        <v>Obama Llamas</v>
      </c>
      <c r="D23" s="14" t="str">
        <f>VLOOKUP(B23,League!T:AL,J1-16,FALSE)</f>
        <v>W. Hotchkiss</v>
      </c>
      <c r="E23" s="1"/>
      <c r="F23" s="1"/>
    </row>
    <row r="24" spans="1:6" ht="13.5" thickBot="1" x14ac:dyDescent="0.25">
      <c r="A24" s="6" t="str">
        <f>League!U1</f>
        <v>Total LG Points</v>
      </c>
      <c r="B24" s="8">
        <f>MAX(League!U2:U14)</f>
        <v>22972.860000000004</v>
      </c>
      <c r="C24" s="8" t="str">
        <f>VLOOKUP(B24,League!U:AK,J1-18,FALSE)</f>
        <v>Wizards</v>
      </c>
      <c r="D24" s="9" t="str">
        <f>VLOOKUP(B24,League!U:AL,J1-17,FALSE)</f>
        <v>R. Patch</v>
      </c>
      <c r="E24" s="1"/>
      <c r="F24" s="1"/>
    </row>
    <row r="25" spans="1:6" ht="13.5" thickBot="1" x14ac:dyDescent="0.25">
      <c r="A25" s="6" t="str">
        <f>League!V1</f>
        <v>Total RS Points</v>
      </c>
      <c r="B25" s="8">
        <f>MAX(League!V2:V14)</f>
        <v>19145.940000000002</v>
      </c>
      <c r="C25" s="8" t="str">
        <f>VLOOKUP(B25,League!V:AK,J1-19,FALSE)</f>
        <v>Wizards</v>
      </c>
      <c r="D25" s="9" t="str">
        <f>VLOOKUP(B25,League!V:AL,J1-18,FALSE)</f>
        <v>R. Patch</v>
      </c>
      <c r="E25" s="1"/>
      <c r="F25" s="1"/>
    </row>
    <row r="26" spans="1:6" ht="13.5" thickBot="1" x14ac:dyDescent="0.25">
      <c r="A26" s="6" t="str">
        <f>League!W1</f>
        <v>Total PO Points</v>
      </c>
      <c r="B26" s="8">
        <f>MAX(League!W2:W14)</f>
        <v>3787.68</v>
      </c>
      <c r="C26" s="8" t="str">
        <f>VLOOKUP(B26,League!W:AK,J1-20,FALSE)</f>
        <v>DawgPound</v>
      </c>
      <c r="D26" s="9" t="str">
        <f>VLOOKUP(B26,League!W:AL,J1-19,FALSE)</f>
        <v>R. Tessmer</v>
      </c>
      <c r="E26" s="1"/>
      <c r="F26" s="1"/>
    </row>
    <row r="27" spans="1:6" ht="13.5" thickBot="1" x14ac:dyDescent="0.25">
      <c r="A27" s="6" t="str">
        <f>League!X1</f>
        <v>Avg LG Pts/Gm</v>
      </c>
      <c r="B27" s="8">
        <f>MAX(League!X2:X14)</f>
        <v>99.882000000000019</v>
      </c>
      <c r="C27" s="8" t="str">
        <f>VLOOKUP(B27,League!X:AK,J1-21,FALSE)</f>
        <v>Wizards</v>
      </c>
      <c r="D27" s="9" t="str">
        <f>VLOOKUP(B27,League!X:AL,J1-20,FALSE)</f>
        <v>R. Patch</v>
      </c>
      <c r="E27" s="1"/>
      <c r="F27" s="1"/>
    </row>
    <row r="28" spans="1:6" ht="13.5" thickBot="1" x14ac:dyDescent="0.25">
      <c r="A28" s="6" t="str">
        <f>League!Y1</f>
        <v>Avg RS Pts/Gm</v>
      </c>
      <c r="B28" s="8">
        <f>MAX(League!Y2:Y14)</f>
        <v>99.734494382022461</v>
      </c>
      <c r="C28" s="8" t="str">
        <f>VLOOKUP(B28,League!Y:AK,J1-22,FALSE)</f>
        <v>Boom Town</v>
      </c>
      <c r="D28" s="9" t="str">
        <f>VLOOKUP(B28,League!Y:AL,J1-21,FALSE)</f>
        <v>G. Waddell</v>
      </c>
      <c r="E28" s="1"/>
      <c r="F28" s="1"/>
    </row>
    <row r="29" spans="1:6" ht="13.5" thickBot="1" x14ac:dyDescent="0.25">
      <c r="A29" s="6" t="str">
        <f>League!Z1</f>
        <v>Avg PO Pts/Gm</v>
      </c>
      <c r="B29" s="8">
        <f>MAX(League!Z2:Z14)</f>
        <v>98.049736842105261</v>
      </c>
      <c r="C29" s="8" t="str">
        <f>VLOOKUP(B29,League!Z:AK,J1-23,FALSE)</f>
        <v>Wizards</v>
      </c>
      <c r="D29" s="9" t="str">
        <f>VLOOKUP(B29,League!Z:AL,J1-22,FALSE)</f>
        <v>R. Patch</v>
      </c>
      <c r="E29" s="1"/>
      <c r="F29" s="1"/>
    </row>
    <row r="30" spans="1:6" ht="13.5" thickBot="1" x14ac:dyDescent="0.25">
      <c r="A30" s="6" t="str">
        <f>League!AA1</f>
        <v>High LG Points</v>
      </c>
      <c r="B30" s="8">
        <f>MAX(League!AA2:AA14)</f>
        <v>2052.1799999999998</v>
      </c>
      <c r="C30" s="8" t="str">
        <f>VLOOKUP(B30,League!AA:AK,J1-24,FALSE)</f>
        <v>Wizards</v>
      </c>
      <c r="D30" s="9" t="str">
        <f>VLOOKUP(B30,League!AA:AL,J1-23,FALSE)</f>
        <v>R. Patch</v>
      </c>
      <c r="E30" s="1"/>
      <c r="F30" s="1"/>
    </row>
    <row r="31" spans="1:6" ht="13.5" thickBot="1" x14ac:dyDescent="0.25">
      <c r="A31" s="12" t="str">
        <f>League!AB1</f>
        <v>Low LG Points</v>
      </c>
      <c r="B31" s="10">
        <f>MIN(League!AB2:AB14)</f>
        <v>909</v>
      </c>
      <c r="C31" s="10" t="str">
        <f>VLOOKUP(B31,League!AB:AK,J1-25,FALSE)</f>
        <v>Juiceman</v>
      </c>
      <c r="D31" s="11" t="str">
        <f>VLOOKUP(B31,League!AB:AL,J1-24,FALSE)</f>
        <v>A. Haszko</v>
      </c>
      <c r="E31" s="1"/>
      <c r="F31" s="1"/>
    </row>
    <row r="32" spans="1:6" ht="13.5" customHeight="1" thickBot="1" x14ac:dyDescent="0.25">
      <c r="A32" s="6" t="str">
        <f>League!AC1</f>
        <v>High RS Points</v>
      </c>
      <c r="B32" s="8">
        <f>MAX(League!AC2:AC14)</f>
        <v>1707.76</v>
      </c>
      <c r="C32" s="8" t="str">
        <f>VLOOKUP(B32,League!AC:AK,J1-26,FALSE)</f>
        <v>Wizards</v>
      </c>
      <c r="D32" s="9" t="str">
        <f>VLOOKUP(B32,League!AC:AL,J1-25,FALSE)</f>
        <v>R. Patch</v>
      </c>
      <c r="E32" s="1"/>
      <c r="F32" s="1"/>
    </row>
    <row r="33" spans="1:6" ht="13.5" customHeight="1" thickBot="1" x14ac:dyDescent="0.25">
      <c r="A33" s="12" t="str">
        <f>League!AD1</f>
        <v>Low RS Points</v>
      </c>
      <c r="B33" s="10">
        <f>MIN(League!AD2:AD14)</f>
        <v>839</v>
      </c>
      <c r="C33" s="10" t="str">
        <f>VLOOKUP(B33,League!AD:AK,J1-27,FALSE)</f>
        <v>Juiceman</v>
      </c>
      <c r="D33" s="11" t="str">
        <f>VLOOKUP(B33,League!AD:AL,J1-26,FALSE)</f>
        <v>A. Haszko</v>
      </c>
      <c r="E33" s="1"/>
      <c r="F33" s="1"/>
    </row>
    <row r="34" spans="1:6" ht="13.5" customHeight="1" thickBot="1" x14ac:dyDescent="0.25">
      <c r="A34" s="6" t="str">
        <f>League!AE1</f>
        <v>High Week Points</v>
      </c>
      <c r="B34" s="8">
        <f>MAX(League!AE2:AE14)</f>
        <v>198.74</v>
      </c>
      <c r="C34" s="8" t="str">
        <f>VLOOKUP(B34,League!AE:AK,J1-28,FALSE)</f>
        <v>Wizards</v>
      </c>
      <c r="D34" s="9" t="str">
        <f>VLOOKUP(B34,League!AE:AL,J1-27,FALSE)</f>
        <v>R. Patch</v>
      </c>
      <c r="E34" s="1"/>
      <c r="F34" s="1"/>
    </row>
    <row r="35" spans="1:6" ht="13.5" customHeight="1" thickBot="1" x14ac:dyDescent="0.25">
      <c r="A35" s="6" t="str">
        <f>League!AF1</f>
        <v>Low Week Points</v>
      </c>
      <c r="B35" s="8">
        <f>MIN(League!AF2:AF14)</f>
        <v>35.380000000000003</v>
      </c>
      <c r="C35" s="8" t="str">
        <f>VLOOKUP(B35,League!AF:AK,J1-29,FALSE)</f>
        <v>Juiceman</v>
      </c>
      <c r="D35" s="9" t="str">
        <f>VLOOKUP(B35,League!AF:AL,J1-28,FALSE)</f>
        <v>A. Haszko</v>
      </c>
      <c r="E35" s="1"/>
      <c r="F35" s="1"/>
    </row>
    <row r="36" spans="1:6" ht="13.5" thickBot="1" x14ac:dyDescent="0.25">
      <c r="A36" s="6" t="str">
        <f>League!AG1</f>
        <v>High PO Points</v>
      </c>
      <c r="B36" s="8">
        <f>MAX(League!AG2:AG14)</f>
        <v>181.06</v>
      </c>
      <c r="C36" s="8" t="str">
        <f>VLOOKUP(B36,League!AG:AK,J1-30,FALSE)</f>
        <v>Rabid Otters</v>
      </c>
      <c r="D36" s="9" t="str">
        <f>VLOOKUP(B36,League!AG:AL,J1-29,FALSE)</f>
        <v>S. Worsley</v>
      </c>
    </row>
    <row r="37" spans="1:6" ht="13.5" thickBot="1" x14ac:dyDescent="0.25">
      <c r="A37" s="6" t="str">
        <f>League!AH1</f>
        <v>Low PO Points</v>
      </c>
      <c r="B37" s="8">
        <f>MIN(League!AH2:AH14)</f>
        <v>32</v>
      </c>
      <c r="C37" s="8" t="str">
        <f>VLOOKUP(B37,League!AH:AK,J1-31,FALSE)</f>
        <v>DawgPound</v>
      </c>
      <c r="D37" s="9" t="str">
        <f>VLOOKUP(B37,League!AH:AL,J1-30,FALSE)</f>
        <v>R. Tessmer</v>
      </c>
    </row>
    <row r="38" spans="1:6" x14ac:dyDescent="0.2">
      <c r="A38" s="42"/>
      <c r="B38" s="43"/>
      <c r="C38" s="43"/>
      <c r="D38" s="44"/>
    </row>
    <row r="39" spans="1:6" ht="13.5" thickBot="1" x14ac:dyDescent="0.25">
      <c r="A39" s="42"/>
      <c r="B39" s="43"/>
      <c r="C39" s="43"/>
      <c r="D39" s="44"/>
    </row>
    <row r="40" spans="1:6" ht="13.5" thickBot="1" x14ac:dyDescent="0.25">
      <c r="A40" s="85" t="s">
        <v>120</v>
      </c>
      <c r="B40" s="86"/>
      <c r="C40" s="86"/>
      <c r="D40" s="87"/>
    </row>
    <row r="41" spans="1:6" ht="13.5" thickBot="1" x14ac:dyDescent="0.25">
      <c r="A41" s="2" t="s">
        <v>95</v>
      </c>
      <c r="B41" s="2" t="s">
        <v>96</v>
      </c>
      <c r="C41" s="2" t="s">
        <v>0</v>
      </c>
      <c r="D41" s="2" t="s">
        <v>8</v>
      </c>
    </row>
    <row r="42" spans="1:6" ht="13.5" thickBot="1" x14ac:dyDescent="0.25">
      <c r="A42" s="6" t="str">
        <f>League!D1</f>
        <v>Total Win %</v>
      </c>
      <c r="B42" s="7">
        <f>MAX(League!D2:D36)</f>
        <v>0.73333333333333328</v>
      </c>
      <c r="C42" s="8" t="str">
        <f>VLOOKUP(B42,League!D:AK,J1-1,FALSE)</f>
        <v>Primetime</v>
      </c>
      <c r="D42" s="9" t="str">
        <f>VLOOKUP(B42,League!D:AL,J1,FALSE)</f>
        <v>D. Humphrey</v>
      </c>
    </row>
    <row r="43" spans="1:6" ht="13.5" thickBot="1" x14ac:dyDescent="0.25">
      <c r="A43" s="88" t="str">
        <f>League!E1</f>
        <v>Total Games</v>
      </c>
      <c r="B43" s="18">
        <f>MAX(League!E2:E36)</f>
        <v>230</v>
      </c>
      <c r="C43" s="13" t="str">
        <f>VLOOKUP(B43,League!E:AK,J1-2,FALSE)</f>
        <v>Wizards</v>
      </c>
      <c r="D43" s="14" t="str">
        <f>VLOOKUP(B43,League!E:AL,J1-1,FALSE)</f>
        <v>R. Patch</v>
      </c>
    </row>
    <row r="44" spans="1:6" ht="13.5" thickBot="1" x14ac:dyDescent="0.25">
      <c r="A44" s="88"/>
      <c r="B44" s="19">
        <f>MAX(League!E2:E36)</f>
        <v>230</v>
      </c>
      <c r="C44" s="16" t="str">
        <f>League!B4</f>
        <v>DawgPound</v>
      </c>
      <c r="D44" s="17" t="str">
        <f>League!C4</f>
        <v>R. Tessmer</v>
      </c>
    </row>
    <row r="45" spans="1:6" ht="13.5" thickBot="1" x14ac:dyDescent="0.25">
      <c r="A45" s="6" t="str">
        <f>League!F1</f>
        <v>Total Win</v>
      </c>
      <c r="B45" s="8">
        <f>MAX(League!F2:F36)</f>
        <v>148</v>
      </c>
      <c r="C45" s="8" t="str">
        <f>VLOOKUP(B45,League!F:AK,J1-3,FALSE)</f>
        <v>Wizards</v>
      </c>
      <c r="D45" s="9" t="str">
        <f>VLOOKUP(B45,League!F:AL,J1-2,FALSE)</f>
        <v>R. Patch</v>
      </c>
    </row>
    <row r="46" spans="1:6" ht="13.5" thickBot="1" x14ac:dyDescent="0.25">
      <c r="A46" s="12" t="str">
        <f>League!G1</f>
        <v>Total Loss</v>
      </c>
      <c r="B46" s="10">
        <f>MIN(League!G2:G36)</f>
        <v>4</v>
      </c>
      <c r="C46" s="10" t="str">
        <f>VLOOKUP(B46,League!G:AK,J1-4,FALSE)</f>
        <v>Primetime</v>
      </c>
      <c r="D46" s="11" t="str">
        <f>VLOOKUP(B46,League!G:AL,J1-3,FALSE)</f>
        <v>D. Humphrey</v>
      </c>
    </row>
    <row r="47" spans="1:6" ht="13.5" thickBot="1" x14ac:dyDescent="0.25">
      <c r="A47" s="6" t="str">
        <f>League!H1</f>
        <v>RS Win %</v>
      </c>
      <c r="B47" s="7">
        <f>MAX(League!H2:H36)</f>
        <v>0.69230769230769229</v>
      </c>
      <c r="C47" s="8" t="str">
        <f>VLOOKUP(B47,League!H:AK,J1-5,FALSE)</f>
        <v>Show Me Your TDs</v>
      </c>
      <c r="D47" s="9" t="str">
        <f>VLOOKUP(B47,League!H:AL,J1-4,FALSE)</f>
        <v>E. Rosenberg</v>
      </c>
    </row>
    <row r="48" spans="1:6" ht="13.5" thickBot="1" x14ac:dyDescent="0.25">
      <c r="A48" s="88" t="str">
        <f>League!I1</f>
        <v>Total RS Games</v>
      </c>
      <c r="B48" s="13">
        <f>MAX(League!I2:I36)</f>
        <v>192</v>
      </c>
      <c r="C48" s="13" t="str">
        <f>VLOOKUP(B48,League!I:AK,J1-6,FALSE)</f>
        <v>Wizards</v>
      </c>
      <c r="D48" s="14" t="str">
        <f>VLOOKUP(B48,League!I:AL,J1-5,FALSE)</f>
        <v>R. Patch</v>
      </c>
    </row>
    <row r="49" spans="1:4" ht="13.5" thickBot="1" x14ac:dyDescent="0.25">
      <c r="A49" s="88"/>
      <c r="B49" s="16">
        <f>MAX(League!I2:I36)</f>
        <v>192</v>
      </c>
      <c r="C49" s="16" t="str">
        <f>League!B8</f>
        <v>Rabid Otters</v>
      </c>
      <c r="D49" s="17" t="str">
        <f>League!C8</f>
        <v>S. Worsley</v>
      </c>
    </row>
    <row r="50" spans="1:4" ht="13.5" thickBot="1" x14ac:dyDescent="0.25">
      <c r="A50" s="6" t="str">
        <f>League!J1</f>
        <v>Total RS Win</v>
      </c>
      <c r="B50" s="8">
        <f>MAX(League!J2:J36)</f>
        <v>124</v>
      </c>
      <c r="C50" s="8" t="str">
        <f>VLOOKUP(B50,League!J:AK,J1-7,FALSE)</f>
        <v>Wizards</v>
      </c>
      <c r="D50" s="9" t="str">
        <f>VLOOKUP(B50,League!J:AL,J1-6,FALSE)</f>
        <v>R. Patch</v>
      </c>
    </row>
    <row r="51" spans="1:4" ht="13.5" thickBot="1" x14ac:dyDescent="0.25">
      <c r="A51" s="12" t="str">
        <f>League!K1</f>
        <v>Total RS Loss</v>
      </c>
      <c r="B51" s="10">
        <f>MIN(League!K2:K36)</f>
        <v>4</v>
      </c>
      <c r="C51" s="10" t="str">
        <f>VLOOKUP(B51,League!K:AK,J1-8,FALSE)</f>
        <v>Primetime</v>
      </c>
      <c r="D51" s="11" t="str">
        <f>VLOOKUP(B51,League!K:AL,J1-7,FALSE)</f>
        <v>D. Humphrey</v>
      </c>
    </row>
    <row r="52" spans="1:4" ht="13.5" thickBot="1" x14ac:dyDescent="0.25">
      <c r="A52" s="38" t="str">
        <f>League!L1</f>
        <v>High RS Win</v>
      </c>
      <c r="B52" s="13">
        <f>MAX(League!L2:L36)</f>
        <v>13</v>
      </c>
      <c r="C52" s="13" t="str">
        <f>VLOOKUP(B52,League!L:AK,J1-9,FALSE)</f>
        <v>Wizards</v>
      </c>
      <c r="D52" s="14" t="str">
        <f>VLOOKUP(B52,League!L:AL,J1-8,FALSE)</f>
        <v>R. Patch</v>
      </c>
    </row>
    <row r="53" spans="1:4" ht="13.5" thickBot="1" x14ac:dyDescent="0.25">
      <c r="A53" s="23" t="str">
        <f>League!M1</f>
        <v>Low RS Loss</v>
      </c>
      <c r="B53" s="13">
        <f>MIN(League!M2:M36)</f>
        <v>1</v>
      </c>
      <c r="C53" s="13" t="str">
        <f>VLOOKUP(B53,League!M:AK,J1-10,FALSE)</f>
        <v>Wizards</v>
      </c>
      <c r="D53" s="14" t="str">
        <f>VLOOKUP(B53,League!M:AL,J1-9,FALSE)</f>
        <v>R. Patch</v>
      </c>
    </row>
    <row r="54" spans="1:4" ht="13.5" thickBot="1" x14ac:dyDescent="0.25">
      <c r="A54" s="6" t="str">
        <f>League!N1</f>
        <v>PO Win %</v>
      </c>
      <c r="B54" s="7">
        <f>MAX(League!N2:N36)</f>
        <v>1</v>
      </c>
      <c r="C54" s="8" t="str">
        <f>VLOOKUP(B54,League!N:AK,J1-11,FALSE)</f>
        <v>Primetime</v>
      </c>
      <c r="D54" s="9" t="str">
        <f>VLOOKUP(B54,League!N:AL,J1-10,FALSE)</f>
        <v>D. Humphrey</v>
      </c>
    </row>
    <row r="55" spans="1:4" ht="13.5" thickBot="1" x14ac:dyDescent="0.25">
      <c r="A55" s="6" t="str">
        <f>League!O1</f>
        <v>Total PO Games</v>
      </c>
      <c r="B55" s="8">
        <f>MAX(League!O2:O36)</f>
        <v>39</v>
      </c>
      <c r="C55" s="8" t="str">
        <f>VLOOKUP(B55,League!O:AK,J1-12,FALSE)</f>
        <v>DawgPound</v>
      </c>
      <c r="D55" s="9" t="str">
        <f>VLOOKUP(B55,League!O:AL,J1-11,FALSE)</f>
        <v>R. Tessmer</v>
      </c>
    </row>
    <row r="56" spans="1:4" ht="13.5" thickBot="1" x14ac:dyDescent="0.25">
      <c r="A56" s="38" t="str">
        <f>League!P1</f>
        <v>PO Win</v>
      </c>
      <c r="B56" s="13">
        <f>MAX(League!P2:P36)</f>
        <v>26</v>
      </c>
      <c r="C56" s="13" t="str">
        <f>VLOOKUP(B56,League!P:AK,J1-13,FALSE)</f>
        <v>DawgPound</v>
      </c>
      <c r="D56" s="14" t="str">
        <f>VLOOKUP(B56,League!P:AL,J1-12,FALSE)</f>
        <v>R. Tessmer</v>
      </c>
    </row>
    <row r="57" spans="1:4" ht="13.5" thickBot="1" x14ac:dyDescent="0.25">
      <c r="A57" s="12" t="str">
        <f>League!Q1</f>
        <v>PO Loss</v>
      </c>
      <c r="B57" s="10">
        <f>MIN(League!Q2:Q36)</f>
        <v>0</v>
      </c>
      <c r="C57" s="10" t="str">
        <f>VLOOKUP(B57,League!Q:AK,J1-14,FALSE)</f>
        <v>Million Dollar Dream</v>
      </c>
      <c r="D57" s="11" t="str">
        <f>VLOOKUP(B57,League!Q:AL,J1-13,FALSE)</f>
        <v>A. Monnot</v>
      </c>
    </row>
    <row r="58" spans="1:4" ht="13.5" thickBot="1" x14ac:dyDescent="0.25">
      <c r="A58" s="88" t="str">
        <f>League!R1</f>
        <v>Total LG Seasons</v>
      </c>
      <c r="B58" s="13">
        <f>MAX(League!R2:R36)</f>
        <v>14</v>
      </c>
      <c r="C58" s="13" t="str">
        <f>VLOOKUP(B58,League!R:AK,J1-15,FALSE)</f>
        <v>Wizards</v>
      </c>
      <c r="D58" s="14" t="str">
        <f>VLOOKUP(B58,League!R:AL,J1-14,FALSE)</f>
        <v>R. Patch</v>
      </c>
    </row>
    <row r="59" spans="1:4" ht="13.5" thickBot="1" x14ac:dyDescent="0.25">
      <c r="A59" s="88"/>
      <c r="B59" s="5">
        <f>MAX(League!R2:R36)</f>
        <v>14</v>
      </c>
      <c r="C59" s="5" t="str">
        <f>League!B4</f>
        <v>DawgPound</v>
      </c>
      <c r="D59" s="15" t="str">
        <f>League!C4</f>
        <v>R. Tessmer</v>
      </c>
    </row>
    <row r="60" spans="1:4" ht="13.5" thickBot="1" x14ac:dyDescent="0.25">
      <c r="A60" s="88"/>
      <c r="B60" s="16">
        <f>MAX(League!R2:R36)</f>
        <v>14</v>
      </c>
      <c r="C60" s="16" t="str">
        <f>League!B8</f>
        <v>Rabid Otters</v>
      </c>
      <c r="D60" s="17" t="str">
        <f>League!C8</f>
        <v>S. Worsley</v>
      </c>
    </row>
    <row r="61" spans="1:4" ht="13.5" thickBot="1" x14ac:dyDescent="0.25">
      <c r="A61" s="24" t="str">
        <f>League!S1</f>
        <v>LG Win</v>
      </c>
      <c r="B61" s="21">
        <f>MAX(League!S2:S36)</f>
        <v>5</v>
      </c>
      <c r="C61" s="21" t="str">
        <f>VLOOKUP(B61,League!S:AK,J1-16,FALSE)</f>
        <v>DawgPound</v>
      </c>
      <c r="D61" s="22" t="str">
        <f>VLOOKUP(B61,League!S:AL,J1-15,FALSE)</f>
        <v>R. Tessmer</v>
      </c>
    </row>
    <row r="62" spans="1:4" ht="13.5" thickBot="1" x14ac:dyDescent="0.25">
      <c r="A62" s="12" t="str">
        <f>League!T1</f>
        <v>LG Loss</v>
      </c>
      <c r="B62" s="10">
        <f>MIN(League!T2:T36)</f>
        <v>0</v>
      </c>
      <c r="C62" s="10" t="str">
        <f>VLOOKUP(B62,League!T:AK,J1-17,FALSE)</f>
        <v>Primetime</v>
      </c>
      <c r="D62" s="11" t="str">
        <f>VLOOKUP(B62,League!T:AL,J1-16,FALSE)</f>
        <v>D. Humphrey</v>
      </c>
    </row>
    <row r="63" spans="1:4" ht="13.5" thickBot="1" x14ac:dyDescent="0.25">
      <c r="A63" s="6" t="str">
        <f>League!U1</f>
        <v>Total LG Points</v>
      </c>
      <c r="B63" s="8">
        <f>MAX(League!U2:U36)</f>
        <v>22972.860000000004</v>
      </c>
      <c r="C63" s="8" t="str">
        <f>VLOOKUP(B63,League!U:AK,J1-18,FALSE)</f>
        <v>Wizards</v>
      </c>
      <c r="D63" s="9" t="str">
        <f>VLOOKUP(B63,League!U:AL,J1-17,FALSE)</f>
        <v>R. Patch</v>
      </c>
    </row>
    <row r="64" spans="1:4" ht="13.5" thickBot="1" x14ac:dyDescent="0.25">
      <c r="A64" s="6" t="str">
        <f>League!V1</f>
        <v>Total RS Points</v>
      </c>
      <c r="B64" s="8">
        <f>MAX(League!V2:V36)</f>
        <v>19145.940000000002</v>
      </c>
      <c r="C64" s="8" t="str">
        <f>VLOOKUP(B64,League!V:AK,J1-19,FALSE)</f>
        <v>Wizards</v>
      </c>
      <c r="D64" s="9" t="str">
        <f>VLOOKUP(B64,League!V:AL,J1-18,FALSE)</f>
        <v>R. Patch</v>
      </c>
    </row>
    <row r="65" spans="1:6" ht="13.5" thickBot="1" x14ac:dyDescent="0.25">
      <c r="A65" s="6" t="str">
        <f>League!W1</f>
        <v>Total PO Points</v>
      </c>
      <c r="B65" s="8">
        <f>MAX(League!W2:W36)</f>
        <v>3787.68</v>
      </c>
      <c r="C65" s="8" t="str">
        <f>VLOOKUP(B65,League!W:AK,J1-20,FALSE)</f>
        <v>DawgPound</v>
      </c>
      <c r="D65" s="9" t="str">
        <f>VLOOKUP(B65,League!W:AL,J1-19,FALSE)</f>
        <v>R. Tessmer</v>
      </c>
      <c r="E65" s="1"/>
      <c r="F65" s="1"/>
    </row>
    <row r="66" spans="1:6" ht="13.5" thickBot="1" x14ac:dyDescent="0.25">
      <c r="A66" s="6" t="str">
        <f>League!X1</f>
        <v>Avg LG Pts/Gm</v>
      </c>
      <c r="B66" s="8">
        <f>MAX(League!X2:X36)</f>
        <v>120.40466666666666</v>
      </c>
      <c r="C66" s="8" t="str">
        <f>VLOOKUP(B66,League!X:AK,J1-21,FALSE)</f>
        <v>Show Me Your TDs</v>
      </c>
      <c r="D66" s="9" t="str">
        <f>VLOOKUP(B66,League!X:AL,J1-20,FALSE)</f>
        <v>E. Rosenberg</v>
      </c>
      <c r="E66" s="1"/>
      <c r="F66" s="1"/>
    </row>
    <row r="67" spans="1:6" ht="13.5" thickBot="1" x14ac:dyDescent="0.25">
      <c r="A67" s="6" t="str">
        <f>League!Y1</f>
        <v>Avg RS Pts/Gm</v>
      </c>
      <c r="B67" s="8">
        <f>MAX(League!Y2:Y36)</f>
        <v>119.68230769230769</v>
      </c>
      <c r="C67" s="8" t="str">
        <f>VLOOKUP(B67,League!Y:AK,J1-22,FALSE)</f>
        <v>Show Me Your TDs</v>
      </c>
      <c r="D67" s="9" t="str">
        <f>VLOOKUP(B67,League!Y:AL,J1-21,FALSE)</f>
        <v>E. Rosenberg</v>
      </c>
      <c r="E67" s="1"/>
      <c r="F67" s="1"/>
    </row>
    <row r="68" spans="1:6" ht="13.5" thickBot="1" x14ac:dyDescent="0.25">
      <c r="A68" s="6" t="str">
        <f>League!Z1</f>
        <v>Avg PO Pts/Gm</v>
      </c>
      <c r="B68" s="8">
        <f>MAX(League!Z2:Z36)</f>
        <v>125.1</v>
      </c>
      <c r="C68" s="8" t="str">
        <f>VLOOKUP(B68,League!Z:AK,J1-23,FALSE)</f>
        <v>Show Me Your TDs</v>
      </c>
      <c r="D68" s="9" t="str">
        <f>VLOOKUP(B68,League!Z:AL,J1-22,FALSE)</f>
        <v>E. Rosenberg</v>
      </c>
    </row>
    <row r="69" spans="1:6" ht="13.5" thickBot="1" x14ac:dyDescent="0.25">
      <c r="A69" s="6" t="str">
        <f>League!AA1</f>
        <v>High LG Points</v>
      </c>
      <c r="B69" s="8">
        <f>MAX(League!AA2:AA36)</f>
        <v>2052.1799999999998</v>
      </c>
      <c r="C69" s="8" t="str">
        <f>VLOOKUP(B69,League!AA:AK,J1-24,FALSE)</f>
        <v>Wizards</v>
      </c>
      <c r="D69" s="9" t="str">
        <f>VLOOKUP(B69,League!AA:AL,J1-23,FALSE)</f>
        <v>R. Patch</v>
      </c>
    </row>
    <row r="70" spans="1:6" ht="13.5" thickBot="1" x14ac:dyDescent="0.25">
      <c r="A70" s="12" t="str">
        <f>League!AB1</f>
        <v>Low LG Points</v>
      </c>
      <c r="B70" s="10">
        <f>MIN(League!AB2:AB36)</f>
        <v>852.59999999999991</v>
      </c>
      <c r="C70" s="10" t="str">
        <f>VLOOKUP(B70,League!AB:AK,J1-25,FALSE)</f>
        <v>Chuck Norris</v>
      </c>
      <c r="D70" s="11" t="str">
        <f>VLOOKUP(B70,League!AB:AL,J1-24,FALSE)</f>
        <v>J. Lesko</v>
      </c>
    </row>
    <row r="71" spans="1:6" ht="13.5" thickBot="1" x14ac:dyDescent="0.25">
      <c r="A71" s="6" t="str">
        <f>League!AC1</f>
        <v>High RS Points</v>
      </c>
      <c r="B71" s="8">
        <f>MAX(League!AC2:AC36)</f>
        <v>1707.76</v>
      </c>
      <c r="C71" s="8" t="str">
        <f>VLOOKUP(B71,League!AC:AK,J1-26,FALSE)</f>
        <v>Wizards</v>
      </c>
      <c r="D71" s="9" t="str">
        <f>VLOOKUP(B71,League!AC:AL,J1-25,FALSE)</f>
        <v>R. Patch</v>
      </c>
    </row>
    <row r="72" spans="1:6" ht="13.5" thickBot="1" x14ac:dyDescent="0.25">
      <c r="A72" s="12" t="str">
        <f>League!AD1</f>
        <v>Low RS Points</v>
      </c>
      <c r="B72" s="10">
        <f>MIN(League!AD2:AD36)</f>
        <v>839</v>
      </c>
      <c r="C72" s="10" t="str">
        <f>VLOOKUP(B72,League!AD:AK,J1-27,FALSE)</f>
        <v>Juiceman</v>
      </c>
      <c r="D72" s="11" t="str">
        <f>VLOOKUP(B72,League!AD:AL,J1-26,FALSE)</f>
        <v>A. Haszko</v>
      </c>
    </row>
    <row r="73" spans="1:6" ht="13.5" thickBot="1" x14ac:dyDescent="0.25">
      <c r="A73" s="6" t="str">
        <f>League!AE1</f>
        <v>High Week Points</v>
      </c>
      <c r="B73" s="8">
        <f>MAX(League!AE2:AE36)</f>
        <v>198.74</v>
      </c>
      <c r="C73" s="8" t="str">
        <f>VLOOKUP(B73,League!AE:AK,J1-28,FALSE)</f>
        <v>Wizards</v>
      </c>
      <c r="D73" s="9" t="str">
        <f>VLOOKUP(B73,League!AE:AL,J1-27,FALSE)</f>
        <v>R. Patch</v>
      </c>
    </row>
    <row r="74" spans="1:6" ht="13.5" thickBot="1" x14ac:dyDescent="0.25">
      <c r="A74" s="6" t="str">
        <f>League!AF1</f>
        <v>Low Week Points</v>
      </c>
      <c r="B74" s="8">
        <f>MIN(League!AF2:AF36)</f>
        <v>19.86</v>
      </c>
      <c r="C74" s="8" t="str">
        <f>VLOOKUP(B74,League!AF:AK,J1-29,FALSE)</f>
        <v>Big Dick Micks</v>
      </c>
      <c r="D74" s="9" t="str">
        <f>VLOOKUP(B74,League!AF:AL,J1-28,FALSE)</f>
        <v>burns32958</v>
      </c>
    </row>
    <row r="75" spans="1:6" ht="13.5" thickBot="1" x14ac:dyDescent="0.25">
      <c r="A75" s="6" t="str">
        <f>League!AG1</f>
        <v>High PO Points</v>
      </c>
      <c r="B75" s="8">
        <f>MAX(League!AG2:AG36)</f>
        <v>181.06</v>
      </c>
      <c r="C75" s="8" t="str">
        <f>VLOOKUP(B75,League!AG:AK,J1-30,FALSE)</f>
        <v>Rabid Otters</v>
      </c>
      <c r="D75" s="9" t="str">
        <f>VLOOKUP(B75,League!AG:AL,J1-29,FALSE)</f>
        <v>S. Worsley</v>
      </c>
    </row>
    <row r="76" spans="1:6" ht="13.5" thickBot="1" x14ac:dyDescent="0.25">
      <c r="A76" s="6" t="str">
        <f>League!AH1</f>
        <v>Low PO Points</v>
      </c>
      <c r="B76" s="8">
        <f>MIN(League!AH2:AH36)</f>
        <v>0</v>
      </c>
      <c r="C76" s="8" t="str">
        <f>VLOOKUP(B76,League!AH:AK,J1-31,FALSE)</f>
        <v>Million Dollar Dream</v>
      </c>
      <c r="D76" s="9" t="str">
        <f>VLOOKUP(B76,League!AH:AL,J1-30,FALSE)</f>
        <v>A. Monnot</v>
      </c>
    </row>
  </sheetData>
  <mergeCells count="8">
    <mergeCell ref="A1:D1"/>
    <mergeCell ref="A9:A10"/>
    <mergeCell ref="A58:A60"/>
    <mergeCell ref="A43:A44"/>
    <mergeCell ref="A48:A49"/>
    <mergeCell ref="A40:D40"/>
    <mergeCell ref="A19:A21"/>
    <mergeCell ref="A4:A5"/>
  </mergeCells>
  <phoneticPr fontId="0" type="noConversion"/>
  <hyperlinks>
    <hyperlink ref="F5" location="League!A1" display="See full stats on League worksheet"/>
  </hyperlink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50</v>
      </c>
      <c r="C2" t="s">
        <v>15</v>
      </c>
      <c r="D2" s="1">
        <f>SUM(F2,H2)</f>
        <v>11</v>
      </c>
      <c r="E2" s="1">
        <f>SUM(G2,I2)</f>
        <v>6</v>
      </c>
      <c r="F2" s="1">
        <v>8</v>
      </c>
      <c r="G2" s="1">
        <v>6</v>
      </c>
      <c r="H2" s="1">
        <v>3</v>
      </c>
      <c r="I2" s="1">
        <v>0</v>
      </c>
      <c r="J2" s="1">
        <v>1</v>
      </c>
      <c r="K2" s="1">
        <v>0</v>
      </c>
      <c r="L2" s="1">
        <f>SUM(M2:N2)</f>
        <v>1547.3600000000001</v>
      </c>
      <c r="M2" s="1">
        <f>125.76+103.07+119.66+60.48+90.71+104.83+65.2+81.89+84+70.7+104.27+100.13+61.01+99.23</f>
        <v>1270.94</v>
      </c>
      <c r="N2" s="1">
        <f>83.17+82.53+110.72</f>
        <v>276.41999999999996</v>
      </c>
      <c r="O2" s="1">
        <v>125.76</v>
      </c>
      <c r="P2" s="1">
        <v>60.48</v>
      </c>
      <c r="Q2" s="1">
        <v>110.72</v>
      </c>
      <c r="R2" s="1">
        <v>82.53</v>
      </c>
    </row>
    <row r="3" spans="1:25" x14ac:dyDescent="0.2">
      <c r="A3" s="1">
        <v>2</v>
      </c>
      <c r="B3" t="s">
        <v>16</v>
      </c>
      <c r="C3" t="s">
        <v>17</v>
      </c>
      <c r="D3" s="1">
        <f t="shared" ref="D3:E5" si="0">SUM(F3,H3)</f>
        <v>11</v>
      </c>
      <c r="E3" s="1">
        <f t="shared" si="0"/>
        <v>6</v>
      </c>
      <c r="F3" s="1">
        <v>9</v>
      </c>
      <c r="G3" s="1">
        <v>5</v>
      </c>
      <c r="H3" s="1">
        <v>2</v>
      </c>
      <c r="I3" s="1">
        <v>1</v>
      </c>
      <c r="J3" s="1">
        <v>0</v>
      </c>
      <c r="K3" s="1">
        <v>1</v>
      </c>
      <c r="L3" s="1">
        <f>SUM(M3:N3)</f>
        <v>1668.01</v>
      </c>
      <c r="M3" s="1">
        <f>74.54+85.8+101.11+102.4+90.77+127.36+96.68+104.9+97.12+109+73.35+88.08+92.67+88.46</f>
        <v>1332.24</v>
      </c>
      <c r="N3" s="1">
        <f>112.18+129.05+94.54</f>
        <v>335.77000000000004</v>
      </c>
      <c r="O3" s="1">
        <v>127.36</v>
      </c>
      <c r="P3" s="1">
        <v>73.349999999999994</v>
      </c>
      <c r="Q3" s="1">
        <v>129.05000000000001</v>
      </c>
      <c r="R3" s="1">
        <v>94.54</v>
      </c>
    </row>
    <row r="4" spans="1:25" x14ac:dyDescent="0.2">
      <c r="A4" s="1">
        <v>3</v>
      </c>
      <c r="B4" t="s">
        <v>73</v>
      </c>
      <c r="C4" t="s">
        <v>77</v>
      </c>
      <c r="D4" s="1">
        <f t="shared" si="0"/>
        <v>11</v>
      </c>
      <c r="E4" s="1">
        <f t="shared" si="0"/>
        <v>6</v>
      </c>
      <c r="F4" s="1">
        <v>9</v>
      </c>
      <c r="G4" s="1">
        <v>5</v>
      </c>
      <c r="H4" s="1">
        <v>2</v>
      </c>
      <c r="I4" s="1">
        <v>1</v>
      </c>
      <c r="J4" s="1">
        <v>0</v>
      </c>
      <c r="K4" s="1">
        <v>1</v>
      </c>
      <c r="L4" s="1">
        <f>SUM(M4:N4)</f>
        <v>1427.3800000000003</v>
      </c>
      <c r="M4" s="1">
        <f>61.2+98.34+62.23+65.66+82.89+67.61+113.79+84.18+97.96+98.93+63.85+90.19+72.87+98.23</f>
        <v>1157.9300000000003</v>
      </c>
      <c r="N4" s="1">
        <f>113.37+55.26+100.82</f>
        <v>269.45</v>
      </c>
      <c r="O4" s="1">
        <v>113.79</v>
      </c>
      <c r="P4" s="1">
        <v>61.2</v>
      </c>
      <c r="Q4" s="1">
        <v>113.37</v>
      </c>
      <c r="R4" s="1">
        <v>55.26</v>
      </c>
    </row>
    <row r="5" spans="1:25" x14ac:dyDescent="0.2">
      <c r="A5" s="1">
        <v>4</v>
      </c>
      <c r="B5" t="s">
        <v>109</v>
      </c>
      <c r="C5" t="s">
        <v>19</v>
      </c>
      <c r="D5" s="1">
        <f t="shared" si="0"/>
        <v>7</v>
      </c>
      <c r="E5" s="1">
        <f t="shared" si="0"/>
        <v>10</v>
      </c>
      <c r="F5" s="1">
        <v>6</v>
      </c>
      <c r="G5" s="1">
        <v>8</v>
      </c>
      <c r="H5" s="1">
        <v>1</v>
      </c>
      <c r="I5" s="1">
        <v>2</v>
      </c>
      <c r="J5" s="1">
        <v>0</v>
      </c>
      <c r="K5" s="1">
        <v>1</v>
      </c>
      <c r="L5" s="1">
        <f>SUM(M5:N5)</f>
        <v>1333.27</v>
      </c>
      <c r="M5" s="1">
        <f>53.9+75.49+65.85+99+81.35+77.1+60.77+79.06+65.8+82.29+82.73+114.33+83.43+86.72</f>
        <v>1107.82</v>
      </c>
      <c r="N5" s="1">
        <f>85.6+66.61+73.24</f>
        <v>225.45</v>
      </c>
      <c r="O5" s="1">
        <v>114.33</v>
      </c>
      <c r="P5" s="1">
        <v>53.9</v>
      </c>
      <c r="Q5" s="1">
        <v>85.6</v>
      </c>
      <c r="R5" s="1">
        <v>66.61</v>
      </c>
    </row>
    <row r="6" spans="1:25" x14ac:dyDescent="0.2">
      <c r="A6" s="1">
        <v>5</v>
      </c>
      <c r="B6" t="s">
        <v>45</v>
      </c>
      <c r="C6" t="s">
        <v>13</v>
      </c>
      <c r="D6" s="1">
        <f>SUM(F6,H6)</f>
        <v>10</v>
      </c>
      <c r="E6" s="1">
        <f>SUM(G6,I6)</f>
        <v>7</v>
      </c>
      <c r="F6" s="1">
        <v>8</v>
      </c>
      <c r="G6" s="1">
        <v>6</v>
      </c>
      <c r="H6" s="1">
        <v>2</v>
      </c>
      <c r="I6" s="1">
        <v>1</v>
      </c>
      <c r="J6" s="1">
        <v>0</v>
      </c>
      <c r="K6" s="1">
        <v>1</v>
      </c>
      <c r="L6" s="1">
        <f>SUM(M6:N6)</f>
        <v>1457.2200000000003</v>
      </c>
      <c r="M6" s="1">
        <f>68.45+111.77+81.69+93.67+115.42+69.75+53.04+65.39+66.24+62.21+84.33+123.1+122.04+93.92</f>
        <v>1211.0200000000002</v>
      </c>
      <c r="N6" s="1">
        <f>71.16+103.38+71.66</f>
        <v>246.2</v>
      </c>
      <c r="O6" s="1">
        <v>123.1</v>
      </c>
      <c r="P6" s="1">
        <v>53.04</v>
      </c>
      <c r="Q6" s="1">
        <v>103.38</v>
      </c>
      <c r="R6" s="1">
        <v>71.16</v>
      </c>
    </row>
    <row r="7" spans="1:25" x14ac:dyDescent="0.2">
      <c r="A7" s="1">
        <v>6</v>
      </c>
      <c r="B7" t="s">
        <v>114</v>
      </c>
      <c r="C7" t="s">
        <v>112</v>
      </c>
      <c r="D7" s="1">
        <f t="shared" ref="D7:D12" si="1">SUM(F7,H7)</f>
        <v>9</v>
      </c>
      <c r="E7" s="1">
        <f t="shared" ref="E7:E12" si="2">SUM(G7,I7)</f>
        <v>8</v>
      </c>
      <c r="F7" s="1">
        <v>8</v>
      </c>
      <c r="G7" s="1">
        <v>6</v>
      </c>
      <c r="H7" s="1">
        <v>1</v>
      </c>
      <c r="I7" s="1">
        <v>2</v>
      </c>
      <c r="J7" s="1">
        <v>0</v>
      </c>
      <c r="K7" s="1">
        <v>1</v>
      </c>
      <c r="L7" s="1">
        <f t="shared" ref="L7:L12" si="3">SUM(M7:N7)</f>
        <v>1468.4</v>
      </c>
      <c r="M7" s="1">
        <f>104.98+85.64+73.39+99.25+95.06+64.03+72.18+99.16+56.9+88.24+87.95+109.27+101.24+88.96</f>
        <v>1226.25</v>
      </c>
      <c r="N7" s="1">
        <f>77.21+108.52+56.42</f>
        <v>242.14999999999998</v>
      </c>
      <c r="O7" s="1">
        <v>109.27</v>
      </c>
      <c r="P7" s="1">
        <v>56.9</v>
      </c>
      <c r="Q7" s="1">
        <v>108.52</v>
      </c>
      <c r="R7" s="1">
        <v>56.42</v>
      </c>
    </row>
    <row r="8" spans="1:25" x14ac:dyDescent="0.2">
      <c r="A8" s="1">
        <v>7</v>
      </c>
      <c r="B8" t="s">
        <v>32</v>
      </c>
      <c r="C8" t="s">
        <v>38</v>
      </c>
      <c r="D8" s="1">
        <f>SUM(F8,H8)</f>
        <v>9</v>
      </c>
      <c r="E8" s="1">
        <f>SUM(G8,I8)</f>
        <v>8</v>
      </c>
      <c r="F8" s="1">
        <v>8</v>
      </c>
      <c r="G8" s="1">
        <v>6</v>
      </c>
      <c r="H8" s="1">
        <v>1</v>
      </c>
      <c r="I8" s="1">
        <v>2</v>
      </c>
      <c r="J8" s="1">
        <v>0</v>
      </c>
      <c r="K8" s="1">
        <v>1</v>
      </c>
      <c r="L8" s="1">
        <f>SUM(M8:N8)</f>
        <v>1513.57</v>
      </c>
      <c r="M8" s="1">
        <f>72.29+105.37+88.13+115.43+87.1+74.69+95.65+92.58+49.46+101.67+57.88+101.87+71.74+94.71</f>
        <v>1208.57</v>
      </c>
      <c r="N8" s="1">
        <f>98.06+82.35+124.59</f>
        <v>305</v>
      </c>
      <c r="O8" s="1">
        <v>115.43</v>
      </c>
      <c r="P8" s="1">
        <v>49.46</v>
      </c>
      <c r="Q8" s="1">
        <v>124.59</v>
      </c>
      <c r="R8" s="1">
        <v>82.35</v>
      </c>
    </row>
    <row r="9" spans="1:25" x14ac:dyDescent="0.2">
      <c r="A9" s="1">
        <v>8</v>
      </c>
      <c r="B9" t="s">
        <v>110</v>
      </c>
      <c r="C9" t="s">
        <v>40</v>
      </c>
      <c r="D9" s="1">
        <f>SUM(F9,H9)</f>
        <v>10</v>
      </c>
      <c r="E9" s="1">
        <f>SUM(G9,I9)</f>
        <v>7</v>
      </c>
      <c r="F9" s="1">
        <v>10</v>
      </c>
      <c r="G9" s="1">
        <v>4</v>
      </c>
      <c r="H9" s="1">
        <v>0</v>
      </c>
      <c r="I9" s="1">
        <v>3</v>
      </c>
      <c r="J9" s="1">
        <v>0</v>
      </c>
      <c r="K9" s="1">
        <v>1</v>
      </c>
      <c r="L9" s="1">
        <f>SUM(M9:N9)</f>
        <v>1530.21</v>
      </c>
      <c r="M9" s="1">
        <f>73.7+110.31+87.79+101.04+107.38+64.18+77.65+76.98+100.59+107+110.25+90.5+111.85+84.17</f>
        <v>1303.3900000000001</v>
      </c>
      <c r="N9" s="1">
        <f>52.35+73.16+101.31</f>
        <v>226.82</v>
      </c>
      <c r="O9" s="1">
        <v>111.85</v>
      </c>
      <c r="P9" s="1">
        <v>64.180000000000007</v>
      </c>
      <c r="Q9" s="1">
        <v>101.31</v>
      </c>
      <c r="R9" s="1">
        <v>52.35</v>
      </c>
    </row>
    <row r="10" spans="1:25" x14ac:dyDescent="0.2">
      <c r="A10" s="1">
        <v>9</v>
      </c>
      <c r="B10" t="s">
        <v>108</v>
      </c>
      <c r="C10" t="s">
        <v>61</v>
      </c>
      <c r="D10" s="1">
        <f t="shared" si="1"/>
        <v>5</v>
      </c>
      <c r="E10" s="1">
        <f t="shared" si="2"/>
        <v>9</v>
      </c>
      <c r="F10" s="1">
        <v>5</v>
      </c>
      <c r="G10" s="1">
        <v>9</v>
      </c>
      <c r="H10" s="1" t="s">
        <v>27</v>
      </c>
      <c r="I10" s="1" t="s">
        <v>27</v>
      </c>
      <c r="J10" s="1">
        <v>0</v>
      </c>
      <c r="K10" s="1">
        <v>1</v>
      </c>
      <c r="L10" s="1">
        <f t="shared" si="3"/>
        <v>1232.79</v>
      </c>
      <c r="M10" s="1">
        <f>94.3+96.79+104.21+74.49+60.92+103.54+82.97+71.54+94.63+107.54+110.89+49.04+97.25+84.68</f>
        <v>1232.79</v>
      </c>
      <c r="N10" s="1" t="s">
        <v>27</v>
      </c>
      <c r="O10" s="1">
        <v>110.89</v>
      </c>
      <c r="P10" s="1">
        <v>49.04</v>
      </c>
      <c r="Q10" s="1" t="s">
        <v>27</v>
      </c>
      <c r="R10" s="1" t="s">
        <v>27</v>
      </c>
    </row>
    <row r="11" spans="1:25" x14ac:dyDescent="0.2">
      <c r="A11" s="1">
        <v>10</v>
      </c>
      <c r="B11" t="s">
        <v>74</v>
      </c>
      <c r="C11" t="s">
        <v>76</v>
      </c>
      <c r="D11" s="1">
        <f>SUM(F11,H11)</f>
        <v>5</v>
      </c>
      <c r="E11" s="1">
        <f>SUM(G11,I11)</f>
        <v>9</v>
      </c>
      <c r="F11" s="1">
        <v>5</v>
      </c>
      <c r="G11" s="1">
        <v>9</v>
      </c>
      <c r="H11" s="1" t="s">
        <v>27</v>
      </c>
      <c r="I11" s="1" t="s">
        <v>27</v>
      </c>
      <c r="J11" s="1">
        <v>0</v>
      </c>
      <c r="K11" s="1">
        <v>1</v>
      </c>
      <c r="L11" s="1">
        <f>SUM(M11:N11)</f>
        <v>1028.71</v>
      </c>
      <c r="M11" s="1">
        <f>41.56+47.45+72.21+105.7+81.64+58.7+76.55+78.63+91.58+80.08+48.5+95.4+86.58+64.13</f>
        <v>1028.71</v>
      </c>
      <c r="N11" s="1" t="s">
        <v>27</v>
      </c>
      <c r="O11" s="1">
        <v>105.7</v>
      </c>
      <c r="P11" s="1">
        <v>41.56</v>
      </c>
      <c r="Q11" s="1" t="s">
        <v>27</v>
      </c>
      <c r="R11" s="1" t="s">
        <v>27</v>
      </c>
    </row>
    <row r="12" spans="1:25" x14ac:dyDescent="0.2">
      <c r="A12" s="1">
        <v>11</v>
      </c>
      <c r="B12" t="s">
        <v>121</v>
      </c>
      <c r="C12" t="s">
        <v>48</v>
      </c>
      <c r="D12" s="1">
        <f t="shared" si="1"/>
        <v>4</v>
      </c>
      <c r="E12" s="1">
        <f t="shared" si="2"/>
        <v>10</v>
      </c>
      <c r="F12" s="1">
        <v>4</v>
      </c>
      <c r="G12" s="1">
        <v>10</v>
      </c>
      <c r="H12" s="1" t="s">
        <v>27</v>
      </c>
      <c r="I12" s="1" t="s">
        <v>27</v>
      </c>
      <c r="J12" s="1">
        <v>0</v>
      </c>
      <c r="K12" s="1">
        <v>1</v>
      </c>
      <c r="L12" s="1">
        <f t="shared" si="3"/>
        <v>1018.19</v>
      </c>
      <c r="M12" s="1">
        <f>69.88+97.03+59.9+53.13+79.81+69.14+84.38+55.35+54.56+103.59+76.89+88.82+59.61+66.1</f>
        <v>1018.19</v>
      </c>
      <c r="N12" s="1" t="s">
        <v>27</v>
      </c>
      <c r="O12" s="1">
        <v>103.59</v>
      </c>
      <c r="P12" s="1">
        <v>53.13</v>
      </c>
      <c r="Q12" s="1" t="s">
        <v>27</v>
      </c>
      <c r="R12" s="1" t="s">
        <v>27</v>
      </c>
    </row>
    <row r="13" spans="1:25" x14ac:dyDescent="0.2">
      <c r="A13" s="1">
        <v>12</v>
      </c>
      <c r="B13" t="s">
        <v>113</v>
      </c>
      <c r="C13" t="s">
        <v>111</v>
      </c>
      <c r="D13" s="1">
        <f>SUM(F13,H13)</f>
        <v>4</v>
      </c>
      <c r="E13" s="1">
        <f>SUM(G13,I13)</f>
        <v>10</v>
      </c>
      <c r="F13" s="1">
        <v>4</v>
      </c>
      <c r="G13" s="1">
        <v>10</v>
      </c>
      <c r="H13" s="1" t="s">
        <v>27</v>
      </c>
      <c r="I13" s="1" t="s">
        <v>27</v>
      </c>
      <c r="J13" s="1">
        <v>0</v>
      </c>
      <c r="K13" s="1">
        <v>1</v>
      </c>
      <c r="L13" s="1">
        <f>SUM(M13:N13)</f>
        <v>1017.9800000000001</v>
      </c>
      <c r="M13" s="1">
        <f>97.09+91.94+53.54+73.63+71.23+32.47+94.65+93.3+69.43+62.45+55.02+101.45+62.33+59.45</f>
        <v>1017.9800000000001</v>
      </c>
      <c r="N13" s="1" t="s">
        <v>27</v>
      </c>
      <c r="O13" s="1">
        <v>101.45</v>
      </c>
      <c r="P13" s="1">
        <v>32.47</v>
      </c>
      <c r="Q13" s="1" t="s">
        <v>27</v>
      </c>
      <c r="R13" s="1" t="s">
        <v>27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16</v>
      </c>
      <c r="C2" t="s">
        <v>17</v>
      </c>
      <c r="D2" s="1">
        <f t="shared" ref="D2:D11" si="0">SUM(F2,H2)</f>
        <v>15</v>
      </c>
      <c r="E2" s="1">
        <f t="shared" ref="E2:E11" si="1">SUM(G2,I2)</f>
        <v>2</v>
      </c>
      <c r="F2" s="1">
        <v>12</v>
      </c>
      <c r="G2" s="1">
        <v>2</v>
      </c>
      <c r="H2" s="1">
        <v>3</v>
      </c>
      <c r="I2" s="1">
        <v>0</v>
      </c>
      <c r="J2" s="1">
        <v>1</v>
      </c>
      <c r="K2" s="1">
        <v>0</v>
      </c>
      <c r="L2" s="1">
        <f t="shared" ref="L2:L11" si="2">SUM(M2:N2)</f>
        <v>1938.3700000000001</v>
      </c>
      <c r="M2" s="1">
        <f>124.05+128.89+99.38+63.78+85.29+99.63+119.52+148.76+98.21+112.67+143.47+133.45+123.99+176.83</f>
        <v>1657.92</v>
      </c>
      <c r="N2" s="1">
        <f>90.47+71.12+118.86</f>
        <v>280.45</v>
      </c>
      <c r="O2" s="1">
        <v>176.83</v>
      </c>
      <c r="P2" s="1">
        <v>63.78</v>
      </c>
      <c r="Q2" s="1">
        <v>118.86</v>
      </c>
      <c r="R2" s="1">
        <v>71.12</v>
      </c>
    </row>
    <row r="3" spans="1:25" x14ac:dyDescent="0.2">
      <c r="A3" s="1">
        <v>2</v>
      </c>
      <c r="B3" t="s">
        <v>73</v>
      </c>
      <c r="C3" t="s">
        <v>77</v>
      </c>
      <c r="D3" s="1">
        <f>SUM(F3,H3)</f>
        <v>8</v>
      </c>
      <c r="E3" s="1">
        <f>SUM(G3,I3)</f>
        <v>9</v>
      </c>
      <c r="F3" s="1">
        <v>6</v>
      </c>
      <c r="G3" s="1">
        <v>8</v>
      </c>
      <c r="H3" s="1">
        <v>2</v>
      </c>
      <c r="I3" s="1">
        <v>1</v>
      </c>
      <c r="J3" s="1">
        <v>0</v>
      </c>
      <c r="K3" s="1">
        <v>1</v>
      </c>
      <c r="L3" s="1">
        <f t="shared" si="2"/>
        <v>1567.81</v>
      </c>
      <c r="M3" s="1">
        <f>85.94+101.55+151.38+92.64+104.5+62.83+87.21+91.79+82.6+89.17+113.63+91.13+80.48+74.71</f>
        <v>1309.56</v>
      </c>
      <c r="N3" s="1">
        <f>82.89+112.2+63.16</f>
        <v>258.25</v>
      </c>
      <c r="O3" s="1">
        <v>151.38</v>
      </c>
      <c r="P3" s="1">
        <v>62.83</v>
      </c>
      <c r="Q3" s="1">
        <v>112.2</v>
      </c>
      <c r="R3" s="1">
        <v>63.16</v>
      </c>
    </row>
    <row r="4" spans="1:25" x14ac:dyDescent="0.2">
      <c r="A4" s="1">
        <v>3</v>
      </c>
      <c r="B4" t="s">
        <v>50</v>
      </c>
      <c r="C4" t="s">
        <v>15</v>
      </c>
      <c r="D4" s="1">
        <f>SUM(F4,H4)</f>
        <v>9</v>
      </c>
      <c r="E4" s="1">
        <f>SUM(G4,I4)</f>
        <v>8</v>
      </c>
      <c r="F4" s="1">
        <v>7</v>
      </c>
      <c r="G4" s="1">
        <v>7</v>
      </c>
      <c r="H4" s="1">
        <v>2</v>
      </c>
      <c r="I4" s="1">
        <v>1</v>
      </c>
      <c r="J4" s="1">
        <v>0</v>
      </c>
      <c r="K4" s="1">
        <v>1</v>
      </c>
      <c r="L4" s="1">
        <f t="shared" si="2"/>
        <v>1498.61</v>
      </c>
      <c r="M4" s="1">
        <f>66.99+116.21+55.28+94.1+62.09+81.8+91.13+105.76+125.99+68.02+106.39+79.1+99.1+118.66</f>
        <v>1270.6199999999999</v>
      </c>
      <c r="N4" s="1">
        <f>83.42+48.1+96.47</f>
        <v>227.99</v>
      </c>
      <c r="O4" s="1">
        <v>125.99</v>
      </c>
      <c r="P4" s="1">
        <v>55.28</v>
      </c>
      <c r="Q4" s="1">
        <v>96.47</v>
      </c>
      <c r="R4" s="1">
        <v>48.1</v>
      </c>
    </row>
    <row r="5" spans="1:25" x14ac:dyDescent="0.2">
      <c r="A5" s="1">
        <v>4</v>
      </c>
      <c r="B5" t="s">
        <v>44</v>
      </c>
      <c r="C5" t="s">
        <v>48</v>
      </c>
      <c r="D5" s="1">
        <f t="shared" si="0"/>
        <v>10</v>
      </c>
      <c r="E5" s="1">
        <f t="shared" si="1"/>
        <v>7</v>
      </c>
      <c r="F5" s="1">
        <v>9</v>
      </c>
      <c r="G5" s="1">
        <v>5</v>
      </c>
      <c r="H5" s="1">
        <v>1</v>
      </c>
      <c r="I5" s="1">
        <v>2</v>
      </c>
      <c r="J5" s="1">
        <v>0</v>
      </c>
      <c r="K5" s="1">
        <v>1</v>
      </c>
      <c r="L5" s="1">
        <f t="shared" si="2"/>
        <v>1676.03</v>
      </c>
      <c r="M5" s="1">
        <f>120.58+95.14+89.2+70.62+65.23+118.37+134.24+104.13+130.91+85.75+113.37+87.52+113.98+90.48</f>
        <v>1419.52</v>
      </c>
      <c r="N5" s="1">
        <f>99.35+108.14+49.02</f>
        <v>256.51</v>
      </c>
      <c r="O5" s="1">
        <v>134.24</v>
      </c>
      <c r="P5" s="1">
        <v>65.23</v>
      </c>
      <c r="Q5" s="1">
        <v>108.14</v>
      </c>
      <c r="R5" s="1">
        <v>49.02</v>
      </c>
    </row>
    <row r="6" spans="1:25" x14ac:dyDescent="0.2">
      <c r="A6" s="1">
        <v>5</v>
      </c>
      <c r="B6" t="s">
        <v>32</v>
      </c>
      <c r="C6" t="s">
        <v>38</v>
      </c>
      <c r="D6" s="1">
        <f>SUM(F6,H6)</f>
        <v>8</v>
      </c>
      <c r="E6" s="1">
        <f>SUM(G6,I6)</f>
        <v>9</v>
      </c>
      <c r="F6" s="1">
        <v>6</v>
      </c>
      <c r="G6" s="1">
        <v>8</v>
      </c>
      <c r="H6" s="1">
        <v>2</v>
      </c>
      <c r="I6" s="1">
        <v>1</v>
      </c>
      <c r="J6" s="1">
        <v>0</v>
      </c>
      <c r="K6" s="1">
        <v>1</v>
      </c>
      <c r="L6" s="1">
        <f t="shared" si="2"/>
        <v>1394.8600000000001</v>
      </c>
      <c r="M6" s="1">
        <f>108.64+116.82+98.29+82.19+71.99+137.15+82.02+64.28+106.63+50.37+79.92+71.71+45.9+55.73</f>
        <v>1171.6400000000001</v>
      </c>
      <c r="N6" s="1">
        <f>45.07+86.03+92.12</f>
        <v>223.22</v>
      </c>
      <c r="O6" s="1">
        <v>137.15</v>
      </c>
      <c r="P6" s="1">
        <v>45.9</v>
      </c>
      <c r="Q6" s="1">
        <v>92.12</v>
      </c>
      <c r="R6" s="1">
        <v>45.07</v>
      </c>
    </row>
    <row r="7" spans="1:25" x14ac:dyDescent="0.2">
      <c r="A7" s="1">
        <v>6</v>
      </c>
      <c r="B7" t="s">
        <v>75</v>
      </c>
      <c r="C7" t="s">
        <v>61</v>
      </c>
      <c r="D7" s="1">
        <f>SUM(F7,H7)</f>
        <v>8</v>
      </c>
      <c r="E7" s="1">
        <f>SUM(G7,I7)</f>
        <v>9</v>
      </c>
      <c r="F7" s="1">
        <v>7</v>
      </c>
      <c r="G7" s="1">
        <v>7</v>
      </c>
      <c r="H7" s="1">
        <v>1</v>
      </c>
      <c r="I7" s="1">
        <v>2</v>
      </c>
      <c r="J7" s="1">
        <v>0</v>
      </c>
      <c r="K7" s="1">
        <v>1</v>
      </c>
      <c r="L7" s="1">
        <f t="shared" si="2"/>
        <v>1348.17</v>
      </c>
      <c r="M7" s="1">
        <f>66.88+91.34+100.37+73.06+76.72+88.49+79.15+77.98+90.01+96.44+41.05+82.13+71.87+65.41</f>
        <v>1100.9000000000001</v>
      </c>
      <c r="N7" s="1">
        <f>69.68+108.82+68.77</f>
        <v>247.26999999999998</v>
      </c>
      <c r="O7" s="1">
        <v>100.37</v>
      </c>
      <c r="P7" s="1">
        <v>41.05</v>
      </c>
      <c r="Q7" s="1">
        <v>108.82</v>
      </c>
      <c r="R7" s="1">
        <v>68.77</v>
      </c>
    </row>
    <row r="8" spans="1:25" x14ac:dyDescent="0.2">
      <c r="A8" s="1">
        <v>7</v>
      </c>
      <c r="B8" t="s">
        <v>72</v>
      </c>
      <c r="C8" t="s">
        <v>19</v>
      </c>
      <c r="D8" s="1">
        <f t="shared" si="0"/>
        <v>9</v>
      </c>
      <c r="E8" s="1">
        <f t="shared" si="1"/>
        <v>8</v>
      </c>
      <c r="F8" s="1">
        <v>8</v>
      </c>
      <c r="G8" s="1">
        <v>6</v>
      </c>
      <c r="H8" s="1">
        <v>1</v>
      </c>
      <c r="I8" s="1">
        <v>2</v>
      </c>
      <c r="J8" s="1">
        <v>0</v>
      </c>
      <c r="K8" s="1">
        <v>1</v>
      </c>
      <c r="L8" s="1">
        <f t="shared" si="2"/>
        <v>1440.73</v>
      </c>
      <c r="M8" s="1">
        <f>88.42+70.85+70.65+68.5+67.6+132.06+56.64+94.02+79.39+98.42+85.44+72.61+104.91+119.19</f>
        <v>1208.7</v>
      </c>
      <c r="N8" s="1">
        <f>79.63+70.81+81.59</f>
        <v>232.03</v>
      </c>
      <c r="O8" s="1">
        <v>132.06</v>
      </c>
      <c r="P8" s="1">
        <v>56.64</v>
      </c>
      <c r="Q8" s="1">
        <v>81.59</v>
      </c>
      <c r="R8" s="1">
        <v>70.81</v>
      </c>
    </row>
    <row r="9" spans="1:25" x14ac:dyDescent="0.2">
      <c r="A9" s="1">
        <v>8</v>
      </c>
      <c r="B9" t="s">
        <v>45</v>
      </c>
      <c r="C9" t="s">
        <v>13</v>
      </c>
      <c r="D9" s="1">
        <f t="shared" si="0"/>
        <v>5</v>
      </c>
      <c r="E9" s="1">
        <f t="shared" si="1"/>
        <v>12</v>
      </c>
      <c r="F9" s="1">
        <v>5</v>
      </c>
      <c r="G9" s="1">
        <v>9</v>
      </c>
      <c r="H9" s="1">
        <v>0</v>
      </c>
      <c r="I9" s="1">
        <v>3</v>
      </c>
      <c r="J9" s="1">
        <v>0</v>
      </c>
      <c r="K9" s="1">
        <v>1</v>
      </c>
      <c r="L9" s="1">
        <f t="shared" si="2"/>
        <v>1480.53</v>
      </c>
      <c r="M9" s="1">
        <f>105.25+129.63+78.71+99.64+81.2+80.63+82.38+75.81+78.22+71.99+84.99+115.38+105.34+71.65</f>
        <v>1260.82</v>
      </c>
      <c r="N9" s="1">
        <f>83.37+58.11+78.23</f>
        <v>219.71000000000004</v>
      </c>
      <c r="O9" s="1">
        <v>129.63</v>
      </c>
      <c r="P9" s="1">
        <v>71.650000000000006</v>
      </c>
      <c r="Q9" s="1">
        <v>83.37</v>
      </c>
      <c r="R9" s="1">
        <v>58.11</v>
      </c>
    </row>
    <row r="10" spans="1:25" x14ac:dyDescent="0.2">
      <c r="A10" s="1">
        <v>9</v>
      </c>
      <c r="B10" t="s">
        <v>71</v>
      </c>
      <c r="C10" t="s">
        <v>40</v>
      </c>
      <c r="D10" s="1">
        <f t="shared" si="0"/>
        <v>5</v>
      </c>
      <c r="E10" s="1">
        <f t="shared" si="1"/>
        <v>9</v>
      </c>
      <c r="F10" s="1">
        <v>5</v>
      </c>
      <c r="G10" s="1">
        <v>9</v>
      </c>
      <c r="H10" s="1" t="s">
        <v>27</v>
      </c>
      <c r="I10" s="1" t="s">
        <v>27</v>
      </c>
      <c r="J10" s="1">
        <v>0</v>
      </c>
      <c r="K10" s="1">
        <v>1</v>
      </c>
      <c r="L10" s="1">
        <f t="shared" si="2"/>
        <v>1259.2200000000003</v>
      </c>
      <c r="M10" s="1">
        <f>92.03+95.04+99.76+88.91+82.18+73.07+125.08+60.86+82.9+68.81+93.58+147.05+41.24+108.71</f>
        <v>1259.2200000000003</v>
      </c>
      <c r="N10" s="1" t="s">
        <v>27</v>
      </c>
      <c r="O10" s="1">
        <v>147.05000000000001</v>
      </c>
      <c r="P10" s="1">
        <v>41.24</v>
      </c>
      <c r="Q10" s="1" t="s">
        <v>27</v>
      </c>
      <c r="R10" s="1" t="s">
        <v>27</v>
      </c>
    </row>
    <row r="11" spans="1:25" x14ac:dyDescent="0.2">
      <c r="A11" s="1">
        <v>10</v>
      </c>
      <c r="B11" t="s">
        <v>74</v>
      </c>
      <c r="C11" t="s">
        <v>76</v>
      </c>
      <c r="D11" s="1">
        <f t="shared" si="0"/>
        <v>5</v>
      </c>
      <c r="E11" s="1">
        <f t="shared" si="1"/>
        <v>9</v>
      </c>
      <c r="F11" s="1">
        <v>5</v>
      </c>
      <c r="G11" s="1">
        <v>9</v>
      </c>
      <c r="H11" s="1" t="s">
        <v>27</v>
      </c>
      <c r="I11" s="1" t="s">
        <v>27</v>
      </c>
      <c r="J11" s="1">
        <v>0</v>
      </c>
      <c r="K11" s="1">
        <v>1</v>
      </c>
      <c r="L11" s="1">
        <f t="shared" si="2"/>
        <v>1114.08</v>
      </c>
      <c r="M11" s="1">
        <f>74.56+71+69.03+40.46+68.42+67.55+69.36+86.8+81.15+111.79+93.09+81.82+105.42+93.63</f>
        <v>1114.08</v>
      </c>
      <c r="N11" s="1" t="s">
        <v>27</v>
      </c>
      <c r="O11" s="1">
        <v>111.79</v>
      </c>
      <c r="P11" s="1">
        <v>40.46</v>
      </c>
      <c r="Q11" s="1" t="s">
        <v>27</v>
      </c>
      <c r="R11" s="1" t="s">
        <v>27</v>
      </c>
    </row>
  </sheetData>
  <phoneticPr fontId="0" type="noConversion"/>
  <pageMargins left="0.75" right="0.75" top="1" bottom="1" header="0.5" footer="0.5"/>
  <pageSetup orientation="portrait" r:id="rId1"/>
  <headerFooter alignWithMargins="0"/>
  <ignoredErrors>
    <ignoredError sqref="L2:L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pane xSplit="2" topLeftCell="C1" activePane="topRight" state="frozen"/>
      <selection pane="top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16</v>
      </c>
      <c r="C2" t="s">
        <v>17</v>
      </c>
      <c r="D2" s="1">
        <f>SUM(F2,H2)</f>
        <v>10</v>
      </c>
      <c r="E2" s="1">
        <f>SUM(G2,I2)</f>
        <v>7</v>
      </c>
      <c r="F2" s="1">
        <v>7</v>
      </c>
      <c r="G2" s="1">
        <v>7</v>
      </c>
      <c r="H2" s="1">
        <v>3</v>
      </c>
      <c r="I2" s="1">
        <v>0</v>
      </c>
      <c r="J2" s="1">
        <v>1</v>
      </c>
      <c r="K2" s="1">
        <v>0</v>
      </c>
      <c r="L2" s="1">
        <f>SUM(M2:N2)</f>
        <v>1609.9600000000003</v>
      </c>
      <c r="M2" s="1">
        <f>98.73+97.73+83.05+111.8+78.55+148.96+98.16+80.99+84.07+88.55+84.66+88.67+99.16+133.48</f>
        <v>1376.5600000000002</v>
      </c>
      <c r="N2" s="1">
        <f>73.65+76.21+83.54</f>
        <v>233.40000000000003</v>
      </c>
      <c r="O2" s="1">
        <v>148.96</v>
      </c>
      <c r="P2" s="1">
        <v>78.55</v>
      </c>
      <c r="Q2" s="1">
        <v>83.54</v>
      </c>
      <c r="R2" s="1">
        <v>73.650000000000006</v>
      </c>
    </row>
    <row r="3" spans="1:25" x14ac:dyDescent="0.2">
      <c r="A3" s="1">
        <v>2</v>
      </c>
      <c r="B3" t="s">
        <v>63</v>
      </c>
      <c r="C3" t="s">
        <v>40</v>
      </c>
      <c r="D3" s="1">
        <f t="shared" ref="D3:D11" si="0">SUM(F3,H3)</f>
        <v>13</v>
      </c>
      <c r="E3" s="1">
        <f t="shared" ref="E3:E11" si="1">SUM(G3,I3)</f>
        <v>4</v>
      </c>
      <c r="F3" s="1">
        <v>11</v>
      </c>
      <c r="G3" s="1">
        <v>3</v>
      </c>
      <c r="H3" s="1">
        <v>2</v>
      </c>
      <c r="I3" s="1">
        <v>1</v>
      </c>
      <c r="J3" s="1">
        <v>0</v>
      </c>
      <c r="K3" s="1">
        <v>1</v>
      </c>
      <c r="L3" s="1">
        <f t="shared" ref="L3:L11" si="2">SUM(M3:N3)</f>
        <v>1692.66</v>
      </c>
      <c r="M3" s="1">
        <f>87.16+77.66+60.55+92.03+87.71+134.05+124.23+134.32+124.32+94.99+94.23+85.61+103.16+119.65</f>
        <v>1419.67</v>
      </c>
      <c r="N3" s="1">
        <f>95.45+110.45+67.09</f>
        <v>272.99</v>
      </c>
      <c r="O3" s="1">
        <v>134.32</v>
      </c>
      <c r="P3" s="1">
        <v>60.55</v>
      </c>
      <c r="Q3" s="1">
        <v>110.45</v>
      </c>
      <c r="R3" s="1">
        <v>67.09</v>
      </c>
    </row>
    <row r="4" spans="1:25" x14ac:dyDescent="0.2">
      <c r="A4" s="1">
        <v>3</v>
      </c>
      <c r="B4" t="s">
        <v>12</v>
      </c>
      <c r="C4" t="s">
        <v>13</v>
      </c>
      <c r="D4" s="1">
        <f t="shared" si="0"/>
        <v>8</v>
      </c>
      <c r="E4" s="1">
        <f t="shared" si="1"/>
        <v>9</v>
      </c>
      <c r="F4" s="1">
        <v>6</v>
      </c>
      <c r="G4" s="1">
        <v>8</v>
      </c>
      <c r="H4" s="1">
        <v>2</v>
      </c>
      <c r="I4" s="1">
        <v>1</v>
      </c>
      <c r="J4" s="1">
        <v>0</v>
      </c>
      <c r="K4" s="1">
        <v>1</v>
      </c>
      <c r="L4" s="1">
        <f t="shared" si="2"/>
        <v>1532.6799999999998</v>
      </c>
      <c r="M4" s="1">
        <f>76.13+77.21+79.58+69.07+83.52+71.5+124.37+106.98+96.63+108.63+95.64+122.87+88.14+53.8</f>
        <v>1254.07</v>
      </c>
      <c r="N4" s="1">
        <f>107.18+43.52+127.91</f>
        <v>278.61</v>
      </c>
      <c r="O4" s="1">
        <v>124.37</v>
      </c>
      <c r="P4" s="1">
        <v>53.8</v>
      </c>
      <c r="Q4" s="1">
        <v>127.91</v>
      </c>
      <c r="R4" s="1">
        <v>43.52</v>
      </c>
    </row>
    <row r="5" spans="1:25" x14ac:dyDescent="0.2">
      <c r="A5" s="1">
        <v>4</v>
      </c>
      <c r="B5" t="s">
        <v>64</v>
      </c>
      <c r="C5" t="s">
        <v>62</v>
      </c>
      <c r="D5" s="1">
        <f t="shared" si="0"/>
        <v>8</v>
      </c>
      <c r="E5" s="1">
        <f t="shared" si="1"/>
        <v>9</v>
      </c>
      <c r="F5" s="1">
        <v>7</v>
      </c>
      <c r="G5" s="1">
        <v>7</v>
      </c>
      <c r="H5" s="1">
        <v>1</v>
      </c>
      <c r="I5" s="1">
        <v>2</v>
      </c>
      <c r="J5" s="1">
        <v>0</v>
      </c>
      <c r="K5" s="1">
        <v>1</v>
      </c>
      <c r="L5" s="1">
        <f t="shared" si="2"/>
        <v>1498.41</v>
      </c>
      <c r="M5" s="1">
        <f>96.65+123.76+68.74+115.84+71.12+66.41+68+104.47+85.84+59.35+65.89+135.91+76.18+66.69</f>
        <v>1204.8500000000001</v>
      </c>
      <c r="N5" s="1">
        <f>102.5+92.14+98.92</f>
        <v>293.56</v>
      </c>
      <c r="O5" s="1">
        <v>135.91</v>
      </c>
      <c r="P5" s="1">
        <v>59.35</v>
      </c>
      <c r="Q5" s="1">
        <v>102.5</v>
      </c>
      <c r="R5" s="1">
        <v>92.14</v>
      </c>
    </row>
    <row r="6" spans="1:25" x14ac:dyDescent="0.2">
      <c r="A6" s="1">
        <v>5</v>
      </c>
      <c r="B6" t="s">
        <v>50</v>
      </c>
      <c r="C6" t="s">
        <v>15</v>
      </c>
      <c r="D6" s="1">
        <f t="shared" si="0"/>
        <v>9</v>
      </c>
      <c r="E6" s="1">
        <f t="shared" si="1"/>
        <v>8</v>
      </c>
      <c r="F6" s="1">
        <v>7</v>
      </c>
      <c r="G6" s="1">
        <v>7</v>
      </c>
      <c r="H6" s="1">
        <v>2</v>
      </c>
      <c r="I6" s="1">
        <v>1</v>
      </c>
      <c r="J6" s="1">
        <v>0</v>
      </c>
      <c r="K6" s="1">
        <v>1</v>
      </c>
      <c r="L6" s="1">
        <f t="shared" si="2"/>
        <v>1559.19</v>
      </c>
      <c r="M6" s="1">
        <f>75.01+72.62+100.94+72.59+78.16+98.74+91.57+77.34+80.41+101.39+74.71+124.63+63.92+123.03</f>
        <v>1235.06</v>
      </c>
      <c r="N6" s="1">
        <f>89.57+114.33+120.23</f>
        <v>324.13</v>
      </c>
      <c r="O6" s="1">
        <v>124.63</v>
      </c>
      <c r="P6" s="1">
        <v>63.92</v>
      </c>
      <c r="Q6" s="1">
        <v>120.23</v>
      </c>
      <c r="R6" s="1">
        <v>89.57</v>
      </c>
    </row>
    <row r="7" spans="1:25" x14ac:dyDescent="0.2">
      <c r="A7" s="1">
        <v>6</v>
      </c>
      <c r="B7" t="s">
        <v>65</v>
      </c>
      <c r="C7" t="s">
        <v>61</v>
      </c>
      <c r="D7" s="1">
        <f t="shared" si="0"/>
        <v>11</v>
      </c>
      <c r="E7" s="1">
        <f t="shared" si="1"/>
        <v>6</v>
      </c>
      <c r="F7" s="1">
        <v>10</v>
      </c>
      <c r="G7" s="1">
        <v>4</v>
      </c>
      <c r="H7" s="1">
        <v>1</v>
      </c>
      <c r="I7" s="1">
        <v>2</v>
      </c>
      <c r="J7" s="1">
        <v>0</v>
      </c>
      <c r="K7" s="1">
        <v>1</v>
      </c>
      <c r="L7" s="1">
        <f t="shared" si="2"/>
        <v>1655.08</v>
      </c>
      <c r="M7" s="1">
        <f>83.49+73.62+100.31+105.9+127.03+76.29+97.14+99.11+115.28+102.29+94.15+104.52+72.26+136.53</f>
        <v>1387.9199999999998</v>
      </c>
      <c r="N7" s="1">
        <f>75.07+89.86+102.23</f>
        <v>267.16000000000003</v>
      </c>
      <c r="O7" s="1">
        <v>136.53</v>
      </c>
      <c r="P7" s="1">
        <v>72.260000000000005</v>
      </c>
      <c r="Q7" s="1">
        <v>102.23</v>
      </c>
      <c r="R7" s="1">
        <v>75.069999999999993</v>
      </c>
    </row>
    <row r="8" spans="1:25" x14ac:dyDescent="0.2">
      <c r="A8" s="1">
        <v>7</v>
      </c>
      <c r="B8" t="s">
        <v>66</v>
      </c>
      <c r="C8" t="s">
        <v>38</v>
      </c>
      <c r="D8" s="1">
        <f t="shared" si="0"/>
        <v>8</v>
      </c>
      <c r="E8" s="1">
        <f t="shared" si="1"/>
        <v>9</v>
      </c>
      <c r="F8" s="1">
        <v>7</v>
      </c>
      <c r="G8" s="1">
        <v>7</v>
      </c>
      <c r="H8" s="1">
        <v>1</v>
      </c>
      <c r="I8" s="1">
        <v>2</v>
      </c>
      <c r="J8" s="1">
        <v>0</v>
      </c>
      <c r="K8" s="1">
        <v>1</v>
      </c>
      <c r="L8" s="1">
        <f t="shared" si="2"/>
        <v>1338.59</v>
      </c>
      <c r="M8" s="1">
        <f>70.59+72.09+90.56+86.85+63.44+75.69+69.97+72.52+95.28+91.79+79.95+106.17+65.9+85.3</f>
        <v>1126.0999999999999</v>
      </c>
      <c r="N8" s="1">
        <f>63.39+84.01+65.09</f>
        <v>212.49</v>
      </c>
      <c r="O8" s="1">
        <v>106.17</v>
      </c>
      <c r="P8" s="1">
        <v>63.44</v>
      </c>
      <c r="Q8" s="1">
        <v>84.01</v>
      </c>
      <c r="R8" s="1">
        <v>63.39</v>
      </c>
    </row>
    <row r="9" spans="1:25" x14ac:dyDescent="0.2">
      <c r="A9" s="1">
        <v>8</v>
      </c>
      <c r="B9" t="s">
        <v>67</v>
      </c>
      <c r="C9" t="s">
        <v>42</v>
      </c>
      <c r="D9" s="1">
        <f t="shared" si="0"/>
        <v>6</v>
      </c>
      <c r="E9" s="1">
        <f t="shared" si="1"/>
        <v>11</v>
      </c>
      <c r="F9" s="1">
        <v>6</v>
      </c>
      <c r="G9" s="1">
        <v>8</v>
      </c>
      <c r="H9" s="1">
        <v>0</v>
      </c>
      <c r="I9" s="1">
        <v>3</v>
      </c>
      <c r="J9" s="1">
        <v>0</v>
      </c>
      <c r="K9" s="1">
        <v>1</v>
      </c>
      <c r="L9" s="1">
        <f t="shared" si="2"/>
        <v>1409.1800000000003</v>
      </c>
      <c r="M9" s="1">
        <f>80.72+65.22+84.23+106.43+89.16+94.97+93.7+101.1+84.97+59.13+71.69+102.9+72.17+70.22</f>
        <v>1176.6100000000004</v>
      </c>
      <c r="N9" s="1">
        <f>87.18+88.22+57.17</f>
        <v>232.57</v>
      </c>
      <c r="O9" s="1">
        <v>106.43</v>
      </c>
      <c r="P9" s="1">
        <v>59.13</v>
      </c>
      <c r="Q9" s="1">
        <v>88.22</v>
      </c>
      <c r="R9" s="1">
        <v>57.17</v>
      </c>
    </row>
    <row r="10" spans="1:25" x14ac:dyDescent="0.2">
      <c r="A10" s="1">
        <v>9</v>
      </c>
      <c r="B10" t="s">
        <v>68</v>
      </c>
      <c r="C10" t="s">
        <v>70</v>
      </c>
      <c r="D10" s="1">
        <f t="shared" si="0"/>
        <v>6</v>
      </c>
      <c r="E10" s="1">
        <f t="shared" si="1"/>
        <v>8</v>
      </c>
      <c r="F10" s="1">
        <v>6</v>
      </c>
      <c r="G10" s="1">
        <v>8</v>
      </c>
      <c r="H10" s="1">
        <v>0</v>
      </c>
      <c r="I10" s="1">
        <v>0</v>
      </c>
      <c r="J10" s="1">
        <v>0</v>
      </c>
      <c r="K10" s="1">
        <v>1</v>
      </c>
      <c r="L10" s="1">
        <f t="shared" si="2"/>
        <v>1043</v>
      </c>
      <c r="M10" s="1">
        <f>81.24+85.51+75.83+59.61+58.12+112.84+62.64+89.47+65.81+58.42+54.08+53.94+112.12+73.37</f>
        <v>1043</v>
      </c>
      <c r="N10" s="1" t="s">
        <v>27</v>
      </c>
      <c r="O10" s="1">
        <v>112.84</v>
      </c>
      <c r="P10" s="1">
        <v>53.94</v>
      </c>
      <c r="Q10" s="1" t="s">
        <v>27</v>
      </c>
      <c r="R10" s="1" t="s">
        <v>27</v>
      </c>
    </row>
    <row r="11" spans="1:25" x14ac:dyDescent="0.2">
      <c r="A11" s="1">
        <v>10</v>
      </c>
      <c r="B11" t="s">
        <v>69</v>
      </c>
      <c r="C11" t="s">
        <v>19</v>
      </c>
      <c r="D11" s="1">
        <f t="shared" si="0"/>
        <v>3</v>
      </c>
      <c r="E11" s="1">
        <f t="shared" si="1"/>
        <v>11</v>
      </c>
      <c r="F11" s="1">
        <v>3</v>
      </c>
      <c r="G11" s="1">
        <v>11</v>
      </c>
      <c r="H11" s="1">
        <v>0</v>
      </c>
      <c r="I11" s="1">
        <v>0</v>
      </c>
      <c r="J11" s="1">
        <v>0</v>
      </c>
      <c r="K11" s="1">
        <v>1</v>
      </c>
      <c r="L11" s="1">
        <f t="shared" si="2"/>
        <v>1047.46</v>
      </c>
      <c r="M11" s="1">
        <f>60.07+89.62+65.24+71.22+76.26+72.75+41.75+90.14+56.67+91.65+63.07+91.93+87.19+89.9</f>
        <v>1047.46</v>
      </c>
      <c r="N11" s="1" t="s">
        <v>27</v>
      </c>
      <c r="O11" s="1">
        <v>91.93</v>
      </c>
      <c r="P11" s="1">
        <v>41.75</v>
      </c>
      <c r="Q11" s="1" t="s">
        <v>27</v>
      </c>
      <c r="R11" s="1" t="s">
        <v>27</v>
      </c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pane xSplit="2" topLeftCell="C1" activePane="topRight" state="frozen"/>
      <selection pane="top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50</v>
      </c>
      <c r="C2" t="s">
        <v>15</v>
      </c>
      <c r="D2" s="1">
        <f>SUM(F2,H2)</f>
        <v>15</v>
      </c>
      <c r="E2" s="1">
        <f>SUM(G2,I2)</f>
        <v>2</v>
      </c>
      <c r="F2" s="1">
        <v>12</v>
      </c>
      <c r="G2" s="1">
        <v>2</v>
      </c>
      <c r="H2" s="1">
        <v>3</v>
      </c>
      <c r="I2" s="1">
        <v>0</v>
      </c>
      <c r="J2" s="1">
        <v>1</v>
      </c>
      <c r="K2" s="1">
        <v>0</v>
      </c>
      <c r="L2" s="1">
        <f>SUM(M2:N2)</f>
        <v>1651.6000000000001</v>
      </c>
      <c r="M2" s="1">
        <f>105.19+66.88+87.23+90.4+84.87+95+79.36+66.96+93.92+114.09+124.82+111.25+100.98+87.64</f>
        <v>1308.5900000000001</v>
      </c>
      <c r="N2" s="1">
        <f>129.12+125.25+88.64</f>
        <v>343.01</v>
      </c>
      <c r="O2" s="1">
        <v>124.82</v>
      </c>
      <c r="P2" s="1">
        <v>66.88</v>
      </c>
      <c r="Q2" s="1">
        <v>129.12</v>
      </c>
      <c r="R2" s="1">
        <v>88.64</v>
      </c>
    </row>
    <row r="3" spans="1:25" x14ac:dyDescent="0.2">
      <c r="A3" s="1">
        <v>2</v>
      </c>
      <c r="B3" t="s">
        <v>51</v>
      </c>
      <c r="C3" t="s">
        <v>40</v>
      </c>
      <c r="D3" s="1">
        <f t="shared" ref="D3:D13" si="0">SUM(F3,H3)</f>
        <v>10</v>
      </c>
      <c r="E3" s="1">
        <f t="shared" ref="E3:E13" si="1">SUM(G3,I3)</f>
        <v>7</v>
      </c>
      <c r="F3" s="1">
        <v>8</v>
      </c>
      <c r="G3" s="1">
        <v>6</v>
      </c>
      <c r="H3" s="1">
        <v>2</v>
      </c>
      <c r="I3" s="1">
        <v>1</v>
      </c>
      <c r="J3" s="1">
        <v>0</v>
      </c>
      <c r="K3" s="1">
        <v>1</v>
      </c>
      <c r="L3" s="1">
        <f t="shared" ref="L3:L13" si="2">SUM(M3:N3)</f>
        <v>1501.4500000000003</v>
      </c>
      <c r="M3" s="1">
        <f>48.6+63.96+84.05+87.82+82.26+94.59+97.99+123.14+98.22+114.24+62.51+88.37+88.15+80.68</f>
        <v>1214.5800000000002</v>
      </c>
      <c r="N3" s="1">
        <f>94.11+115.04+77.72</f>
        <v>286.87</v>
      </c>
      <c r="O3" s="1">
        <v>123.14</v>
      </c>
      <c r="P3" s="1">
        <v>48.6</v>
      </c>
      <c r="Q3" s="1">
        <v>115.04</v>
      </c>
      <c r="R3" s="1">
        <v>77.72</v>
      </c>
    </row>
    <row r="4" spans="1:25" x14ac:dyDescent="0.2">
      <c r="A4" s="1">
        <v>3</v>
      </c>
      <c r="B4" t="s">
        <v>45</v>
      </c>
      <c r="C4" t="s">
        <v>13</v>
      </c>
      <c r="D4" s="1">
        <f t="shared" si="0"/>
        <v>11</v>
      </c>
      <c r="E4" s="1">
        <f t="shared" si="1"/>
        <v>6</v>
      </c>
      <c r="F4" s="1">
        <v>9</v>
      </c>
      <c r="G4" s="1">
        <v>5</v>
      </c>
      <c r="H4" s="1">
        <v>2</v>
      </c>
      <c r="I4" s="1">
        <v>1</v>
      </c>
      <c r="J4" s="1">
        <v>0</v>
      </c>
      <c r="K4" s="1">
        <v>1</v>
      </c>
      <c r="L4" s="1">
        <f t="shared" si="2"/>
        <v>1625.95</v>
      </c>
      <c r="M4" s="1">
        <f>69.67+69.61+119.09+130.52+88.71+122.47+102.01+99.87+92.25+88.4+111.2+85.76+80.81+77.38</f>
        <v>1337.75</v>
      </c>
      <c r="N4" s="1">
        <f>102.82+77.13+108.25</f>
        <v>288.2</v>
      </c>
      <c r="O4" s="1">
        <v>130.52000000000001</v>
      </c>
      <c r="P4" s="1">
        <v>69.61</v>
      </c>
      <c r="Q4" s="1">
        <v>108.25</v>
      </c>
      <c r="R4" s="1">
        <v>77.13</v>
      </c>
    </row>
    <row r="5" spans="1:25" x14ac:dyDescent="0.2">
      <c r="A5" s="1">
        <v>4</v>
      </c>
      <c r="B5" t="s">
        <v>16</v>
      </c>
      <c r="C5" t="s">
        <v>17</v>
      </c>
      <c r="D5" s="1">
        <f t="shared" si="0"/>
        <v>13</v>
      </c>
      <c r="E5" s="1">
        <f t="shared" si="1"/>
        <v>4</v>
      </c>
      <c r="F5" s="1">
        <v>12</v>
      </c>
      <c r="G5" s="1">
        <v>2</v>
      </c>
      <c r="H5" s="1">
        <v>1</v>
      </c>
      <c r="I5" s="1">
        <v>2</v>
      </c>
      <c r="J5" s="1">
        <v>0</v>
      </c>
      <c r="K5" s="1">
        <v>1</v>
      </c>
      <c r="L5" s="1">
        <f t="shared" si="2"/>
        <v>1631.6299999999999</v>
      </c>
      <c r="M5" s="1">
        <f>91.89+93.39+85.12+88.32+90.42+128.38+78.77+112.53+92.25+97.06+116.4+95.54+94+112.3</f>
        <v>1376.37</v>
      </c>
      <c r="N5" s="1">
        <f>102.62+91.03+61.61</f>
        <v>255.26</v>
      </c>
      <c r="O5" s="1">
        <v>128.38</v>
      </c>
      <c r="P5" s="1">
        <v>78.77</v>
      </c>
      <c r="Q5" s="1">
        <v>102.62</v>
      </c>
      <c r="R5" s="1">
        <v>61.61</v>
      </c>
    </row>
    <row r="6" spans="1:25" x14ac:dyDescent="0.2">
      <c r="A6" s="1">
        <v>5</v>
      </c>
      <c r="B6" t="s">
        <v>52</v>
      </c>
      <c r="C6" t="s">
        <v>19</v>
      </c>
      <c r="D6" s="1">
        <f t="shared" si="0"/>
        <v>9</v>
      </c>
      <c r="E6" s="1">
        <f t="shared" si="1"/>
        <v>8</v>
      </c>
      <c r="F6" s="1">
        <v>7</v>
      </c>
      <c r="G6" s="1">
        <v>7</v>
      </c>
      <c r="H6" s="1">
        <v>2</v>
      </c>
      <c r="I6" s="1">
        <v>1</v>
      </c>
      <c r="J6" s="1">
        <v>0</v>
      </c>
      <c r="K6" s="1">
        <v>1</v>
      </c>
      <c r="L6" s="1">
        <f t="shared" si="2"/>
        <v>1286.29</v>
      </c>
      <c r="M6" s="1">
        <f>93.7+64.85+92.18+61.37+71.41+66.74+80.97+62.51+52.63+73.78+89.66+77.71+59.79+91.98</f>
        <v>1039.28</v>
      </c>
      <c r="N6" s="1">
        <f>38.89+135.4+72.72</f>
        <v>247.01000000000002</v>
      </c>
      <c r="O6" s="1">
        <v>93.7</v>
      </c>
      <c r="P6" s="1">
        <v>52.63</v>
      </c>
      <c r="Q6" s="1">
        <v>135.4</v>
      </c>
      <c r="R6" s="1">
        <v>38.89</v>
      </c>
    </row>
    <row r="7" spans="1:25" x14ac:dyDescent="0.2">
      <c r="A7" s="1">
        <v>6</v>
      </c>
      <c r="B7" t="s">
        <v>44</v>
      </c>
      <c r="C7" t="s">
        <v>48</v>
      </c>
      <c r="D7" s="1">
        <f t="shared" si="0"/>
        <v>6</v>
      </c>
      <c r="E7" s="1">
        <f t="shared" si="1"/>
        <v>11</v>
      </c>
      <c r="F7" s="1">
        <v>5</v>
      </c>
      <c r="G7" s="1">
        <v>9</v>
      </c>
      <c r="H7" s="1">
        <v>1</v>
      </c>
      <c r="I7" s="1">
        <v>2</v>
      </c>
      <c r="J7" s="1">
        <v>0</v>
      </c>
      <c r="K7" s="1">
        <v>1</v>
      </c>
      <c r="L7" s="1">
        <f t="shared" si="2"/>
        <v>1261.9399999999998</v>
      </c>
      <c r="M7" s="1">
        <f>58.68+115.6+59.65+84.57+83.06+87.12+89.23+73.92+57.82+58.39+81.17+83.76+68.94+75.26</f>
        <v>1077.1699999999998</v>
      </c>
      <c r="N7" s="1">
        <f>56.23+92.78+35.76</f>
        <v>184.76999999999998</v>
      </c>
      <c r="O7" s="1">
        <v>115.6</v>
      </c>
      <c r="P7" s="1">
        <v>57.82</v>
      </c>
      <c r="Q7" s="1">
        <v>92.78</v>
      </c>
      <c r="R7" s="1">
        <v>35.76</v>
      </c>
    </row>
    <row r="8" spans="1:25" x14ac:dyDescent="0.2">
      <c r="A8" s="1">
        <v>7</v>
      </c>
      <c r="B8" t="s">
        <v>53</v>
      </c>
      <c r="C8" t="s">
        <v>59</v>
      </c>
      <c r="D8" s="1">
        <f t="shared" si="0"/>
        <v>9</v>
      </c>
      <c r="E8" s="1">
        <f t="shared" si="1"/>
        <v>8</v>
      </c>
      <c r="F8" s="1">
        <v>8</v>
      </c>
      <c r="G8" s="1">
        <v>6</v>
      </c>
      <c r="H8" s="1">
        <v>1</v>
      </c>
      <c r="I8" s="1">
        <v>2</v>
      </c>
      <c r="J8" s="1">
        <v>0</v>
      </c>
      <c r="K8" s="1">
        <v>1</v>
      </c>
      <c r="L8" s="1">
        <f t="shared" si="2"/>
        <v>1353.7099999999998</v>
      </c>
      <c r="M8" s="1">
        <f>108.17+84.69+108.07+98.43+121.27+80.8+67.84+44.06+72.74+70.64+81.66+61.43+84.92+63.1</f>
        <v>1147.8199999999997</v>
      </c>
      <c r="N8" s="1">
        <f>77.4+48.45+80.04</f>
        <v>205.89000000000001</v>
      </c>
      <c r="O8" s="1">
        <v>121.27</v>
      </c>
      <c r="P8" s="1">
        <v>61.43</v>
      </c>
      <c r="Q8" s="1">
        <v>80.040000000000006</v>
      </c>
      <c r="R8" s="1">
        <v>48.45</v>
      </c>
    </row>
    <row r="9" spans="1:25" x14ac:dyDescent="0.2">
      <c r="A9" s="1">
        <v>8</v>
      </c>
      <c r="B9" t="s">
        <v>54</v>
      </c>
      <c r="C9" t="s">
        <v>61</v>
      </c>
      <c r="D9" s="1">
        <f t="shared" si="0"/>
        <v>9</v>
      </c>
      <c r="E9" s="1">
        <f t="shared" si="1"/>
        <v>8</v>
      </c>
      <c r="F9" s="1">
        <v>9</v>
      </c>
      <c r="G9" s="1">
        <v>5</v>
      </c>
      <c r="H9" s="1">
        <v>0</v>
      </c>
      <c r="I9" s="1">
        <v>3</v>
      </c>
      <c r="J9" s="1">
        <v>0</v>
      </c>
      <c r="K9" s="1">
        <v>1</v>
      </c>
      <c r="L9" s="1">
        <f t="shared" si="2"/>
        <v>1444.68</v>
      </c>
      <c r="M9" s="1">
        <f>77.33+74.12+106.35+79.49+83.1+109.76+64.95+110.23+99.79+65.16+89.05+111.18+58.42+92.42</f>
        <v>1221.3500000000001</v>
      </c>
      <c r="N9" s="1">
        <f>92.3+74.54+56.49</f>
        <v>223.33</v>
      </c>
      <c r="O9" s="1">
        <v>111.18</v>
      </c>
      <c r="P9" s="1">
        <v>58.42</v>
      </c>
      <c r="Q9" s="1">
        <v>92.3</v>
      </c>
      <c r="R9" s="1">
        <v>56.49</v>
      </c>
    </row>
    <row r="10" spans="1:25" x14ac:dyDescent="0.2">
      <c r="A10" s="1">
        <v>9</v>
      </c>
      <c r="B10" t="s">
        <v>55</v>
      </c>
      <c r="C10" t="s">
        <v>62</v>
      </c>
      <c r="D10" s="1">
        <f t="shared" si="0"/>
        <v>5</v>
      </c>
      <c r="E10" s="1">
        <f t="shared" si="1"/>
        <v>9</v>
      </c>
      <c r="F10" s="1">
        <v>5</v>
      </c>
      <c r="G10" s="1">
        <v>9</v>
      </c>
      <c r="H10" s="1">
        <v>0</v>
      </c>
      <c r="I10" s="1">
        <v>0</v>
      </c>
      <c r="J10" s="1">
        <v>0</v>
      </c>
      <c r="K10" s="1">
        <v>1</v>
      </c>
      <c r="L10" s="1">
        <f t="shared" si="2"/>
        <v>852.59999999999991</v>
      </c>
      <c r="M10" s="1">
        <f>65+58.19+76.43+54.62+44.28+51.14+64.12+84.92+52.16+66.35+58.04+43.35+48.68+85.32</f>
        <v>852.59999999999991</v>
      </c>
      <c r="N10" s="1" t="s">
        <v>27</v>
      </c>
      <c r="O10" s="1">
        <v>85.32</v>
      </c>
      <c r="P10" s="1">
        <v>43.35</v>
      </c>
      <c r="Q10" s="1" t="s">
        <v>27</v>
      </c>
      <c r="R10" s="1" t="s">
        <v>27</v>
      </c>
    </row>
    <row r="11" spans="1:25" x14ac:dyDescent="0.2">
      <c r="A11" s="1">
        <v>10</v>
      </c>
      <c r="B11" t="s">
        <v>56</v>
      </c>
      <c r="C11" t="s">
        <v>38</v>
      </c>
      <c r="D11" s="1">
        <f t="shared" si="0"/>
        <v>4</v>
      </c>
      <c r="E11" s="1">
        <f t="shared" si="1"/>
        <v>10</v>
      </c>
      <c r="F11" s="1">
        <v>4</v>
      </c>
      <c r="G11" s="1">
        <v>10</v>
      </c>
      <c r="H11" s="1">
        <v>0</v>
      </c>
      <c r="I11" s="1">
        <v>0</v>
      </c>
      <c r="J11" s="1">
        <v>0</v>
      </c>
      <c r="K11" s="1">
        <v>1</v>
      </c>
      <c r="L11" s="1">
        <f t="shared" si="2"/>
        <v>1009.81</v>
      </c>
      <c r="M11" s="1">
        <f>94.09+94.18+68.47+81.24+52.81+56.37+45.09+91.1+73.47+60.13+59.18+87.91+80.75+65.02</f>
        <v>1009.81</v>
      </c>
      <c r="N11" s="1" t="s">
        <v>27</v>
      </c>
      <c r="O11" s="1">
        <v>94.18</v>
      </c>
      <c r="P11" s="1">
        <v>45.09</v>
      </c>
      <c r="Q11" s="1" t="s">
        <v>27</v>
      </c>
      <c r="R11" s="1" t="s">
        <v>27</v>
      </c>
    </row>
    <row r="12" spans="1:25" x14ac:dyDescent="0.2">
      <c r="A12" s="1">
        <v>11</v>
      </c>
      <c r="B12" t="s">
        <v>57</v>
      </c>
      <c r="C12" t="s">
        <v>132</v>
      </c>
      <c r="D12" s="1">
        <f t="shared" si="0"/>
        <v>3</v>
      </c>
      <c r="E12" s="1">
        <f t="shared" si="1"/>
        <v>11</v>
      </c>
      <c r="F12" s="1">
        <v>3</v>
      </c>
      <c r="G12" s="1">
        <v>11</v>
      </c>
      <c r="H12" s="1">
        <v>0</v>
      </c>
      <c r="I12" s="1">
        <v>0</v>
      </c>
      <c r="J12" s="1">
        <v>0</v>
      </c>
      <c r="K12" s="1">
        <v>1</v>
      </c>
      <c r="L12" s="1">
        <f t="shared" si="2"/>
        <v>915.61000000000013</v>
      </c>
      <c r="M12" s="1">
        <f>48.51+82.3+77.57+115.84+55.11+51.46+92.54+50.29+50.2+49.98+61.54+96.76+51.31+32.2</f>
        <v>915.61000000000013</v>
      </c>
      <c r="N12" s="1" t="s">
        <v>27</v>
      </c>
      <c r="O12" s="1">
        <v>115.84</v>
      </c>
      <c r="P12" s="1">
        <v>32.200000000000003</v>
      </c>
      <c r="Q12" s="1" t="s">
        <v>27</v>
      </c>
      <c r="R12" s="1" t="s">
        <v>27</v>
      </c>
    </row>
    <row r="13" spans="1:25" x14ac:dyDescent="0.2">
      <c r="A13" s="1">
        <v>12</v>
      </c>
      <c r="B13" t="s">
        <v>58</v>
      </c>
      <c r="C13" t="s">
        <v>131</v>
      </c>
      <c r="D13" s="1">
        <f t="shared" si="0"/>
        <v>2</v>
      </c>
      <c r="E13" s="1">
        <f t="shared" si="1"/>
        <v>12</v>
      </c>
      <c r="F13" s="1">
        <v>2</v>
      </c>
      <c r="G13" s="1">
        <v>12</v>
      </c>
      <c r="H13" s="1">
        <v>0</v>
      </c>
      <c r="I13" s="1">
        <v>0</v>
      </c>
      <c r="J13" s="1">
        <v>0</v>
      </c>
      <c r="K13" s="1">
        <v>1</v>
      </c>
      <c r="L13" s="1">
        <f t="shared" si="2"/>
        <v>873.69999999999993</v>
      </c>
      <c r="M13" s="1">
        <f>98.63+62.82+95.6+76.66+58.91+58.52+19.86+37.02+50.84+51.66+57.34+88.04+52.1+65.7</f>
        <v>873.69999999999993</v>
      </c>
      <c r="N13" s="1" t="s">
        <v>27</v>
      </c>
      <c r="O13" s="1">
        <v>98.63</v>
      </c>
      <c r="P13" s="1">
        <v>19.86</v>
      </c>
      <c r="Q13" s="1" t="s">
        <v>27</v>
      </c>
      <c r="R13" s="1" t="s">
        <v>27</v>
      </c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pane xSplit="2" topLeftCell="C1" activePane="topRight" state="frozen"/>
      <selection pane="top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43</v>
      </c>
      <c r="C2" t="s">
        <v>40</v>
      </c>
      <c r="D2" s="1">
        <f>SUM(F2,H2)</f>
        <v>15</v>
      </c>
      <c r="E2" s="1">
        <f>SUM(G2,I2)</f>
        <v>2</v>
      </c>
      <c r="F2" s="1">
        <v>12</v>
      </c>
      <c r="G2" s="1">
        <v>2</v>
      </c>
      <c r="H2" s="1">
        <v>3</v>
      </c>
      <c r="I2" s="1">
        <v>0</v>
      </c>
      <c r="J2" s="1">
        <v>1</v>
      </c>
      <c r="K2" s="1">
        <v>0</v>
      </c>
      <c r="L2" s="1">
        <f>SUM(M2:N2)</f>
        <v>1814.9700000000003</v>
      </c>
      <c r="M2" s="1">
        <f>102.14+104.2+139.69+90.7+103.15+83.4+94.16+111.37+99.69+111.75+93.44+124.4+113.31+123.67</f>
        <v>1495.0700000000002</v>
      </c>
      <c r="N2" s="1">
        <f>91.75+105.41+122.74</f>
        <v>319.89999999999998</v>
      </c>
      <c r="O2" s="1">
        <v>139.69</v>
      </c>
      <c r="P2" s="1">
        <v>83.4</v>
      </c>
      <c r="Q2" s="1">
        <v>122.74</v>
      </c>
      <c r="R2" s="1">
        <v>91.75</v>
      </c>
    </row>
    <row r="3" spans="1:25" x14ac:dyDescent="0.2">
      <c r="A3" s="1">
        <v>2</v>
      </c>
      <c r="B3" t="s">
        <v>44</v>
      </c>
      <c r="C3" t="s">
        <v>48</v>
      </c>
      <c r="D3" s="1">
        <f t="shared" ref="D3:D9" si="0">SUM(F3,H3)</f>
        <v>8</v>
      </c>
      <c r="E3" s="1">
        <f t="shared" ref="E3:E9" si="1">SUM(G3,I3)</f>
        <v>9</v>
      </c>
      <c r="F3" s="1">
        <v>6</v>
      </c>
      <c r="G3" s="1">
        <v>8</v>
      </c>
      <c r="H3" s="1">
        <v>2</v>
      </c>
      <c r="I3" s="1">
        <v>1</v>
      </c>
      <c r="J3" s="1">
        <v>0</v>
      </c>
      <c r="K3" s="1">
        <v>1</v>
      </c>
      <c r="L3" s="1">
        <f t="shared" ref="L3:L9" si="2">SUM(M3:N3)</f>
        <v>1572.1499999999999</v>
      </c>
      <c r="M3" s="1">
        <f>103.31+86.01+97.55+69.9+84.23+75.97+87.48+92.15+107.32+134.06+81.06+89.62+104.37+74.68</f>
        <v>1287.7099999999998</v>
      </c>
      <c r="N3" s="1">
        <f>107.37+99.39+77.68</f>
        <v>284.44</v>
      </c>
      <c r="O3" s="1">
        <v>134.06</v>
      </c>
      <c r="P3" s="1">
        <v>69.900000000000006</v>
      </c>
      <c r="Q3" s="1">
        <v>107.37</v>
      </c>
      <c r="R3" s="1">
        <v>77.680000000000007</v>
      </c>
    </row>
    <row r="4" spans="1:25" x14ac:dyDescent="0.2">
      <c r="A4" s="1">
        <v>3</v>
      </c>
      <c r="B4" t="s">
        <v>45</v>
      </c>
      <c r="C4" t="s">
        <v>13</v>
      </c>
      <c r="D4" s="1">
        <f t="shared" si="0"/>
        <v>9</v>
      </c>
      <c r="E4" s="1">
        <f t="shared" si="1"/>
        <v>8</v>
      </c>
      <c r="F4" s="1">
        <v>7</v>
      </c>
      <c r="G4" s="1">
        <v>7</v>
      </c>
      <c r="H4" s="1">
        <v>2</v>
      </c>
      <c r="I4" s="1">
        <v>1</v>
      </c>
      <c r="J4" s="1">
        <v>0</v>
      </c>
      <c r="K4" s="1">
        <v>1</v>
      </c>
      <c r="L4" s="1">
        <f t="shared" si="2"/>
        <v>1555.46</v>
      </c>
      <c r="M4" s="1">
        <f>45.67+77.6+121.36+37.72+85.68+95.65+70.23+87.33+138.2+87.12+77.32+82.18+145.91+89.07</f>
        <v>1241.0400000000002</v>
      </c>
      <c r="N4" s="1">
        <f>93.56+88.35+132.51</f>
        <v>314.41999999999996</v>
      </c>
      <c r="O4" s="1">
        <v>145.91</v>
      </c>
      <c r="P4" s="1">
        <v>37.72</v>
      </c>
      <c r="Q4" s="1">
        <v>132.51</v>
      </c>
      <c r="R4" s="1">
        <v>88.35</v>
      </c>
    </row>
    <row r="5" spans="1:25" x14ac:dyDescent="0.2">
      <c r="A5" s="1">
        <v>4</v>
      </c>
      <c r="B5" t="s">
        <v>46</v>
      </c>
      <c r="C5" t="s">
        <v>38</v>
      </c>
      <c r="D5" s="1">
        <f t="shared" si="0"/>
        <v>7</v>
      </c>
      <c r="E5" s="1">
        <f t="shared" si="1"/>
        <v>10</v>
      </c>
      <c r="F5" s="1">
        <v>6</v>
      </c>
      <c r="G5" s="1">
        <v>8</v>
      </c>
      <c r="H5" s="1">
        <v>1</v>
      </c>
      <c r="I5" s="1">
        <v>2</v>
      </c>
      <c r="J5" s="1">
        <v>0</v>
      </c>
      <c r="K5" s="1">
        <v>1</v>
      </c>
      <c r="L5" s="1">
        <f t="shared" si="2"/>
        <v>1496.4099999999999</v>
      </c>
      <c r="M5" s="1">
        <f>80.3+77.84+97.22+66.81+116.67+85.11+104.68+86.84+80.61+103.22+79.72+66.77+78.4+80.82</f>
        <v>1205.01</v>
      </c>
      <c r="N5" s="1">
        <f>109.25+82.45+99.7</f>
        <v>291.39999999999998</v>
      </c>
      <c r="O5" s="1">
        <v>116.67</v>
      </c>
      <c r="P5" s="1">
        <v>66.77</v>
      </c>
      <c r="Q5" s="1">
        <v>109.25</v>
      </c>
      <c r="R5" s="1">
        <v>82.45</v>
      </c>
    </row>
    <row r="6" spans="1:25" x14ac:dyDescent="0.2">
      <c r="A6" s="1">
        <v>5</v>
      </c>
      <c r="B6" t="s">
        <v>31</v>
      </c>
      <c r="C6" t="s">
        <v>11</v>
      </c>
      <c r="D6" s="1">
        <f t="shared" si="0"/>
        <v>11</v>
      </c>
      <c r="E6" s="1">
        <f t="shared" si="1"/>
        <v>6</v>
      </c>
      <c r="F6" s="1">
        <v>9</v>
      </c>
      <c r="G6" s="1">
        <v>5</v>
      </c>
      <c r="H6" s="1">
        <v>2</v>
      </c>
      <c r="I6" s="1">
        <v>1</v>
      </c>
      <c r="J6" s="1">
        <v>0</v>
      </c>
      <c r="K6" s="1">
        <v>1</v>
      </c>
      <c r="L6" s="1">
        <f t="shared" si="2"/>
        <v>1807.79</v>
      </c>
      <c r="M6" s="1">
        <f>152.92+110.23+87.45+111.44+88.01+100.02+114.7+76.9+77.14+145.59+105.83+140.14+145.39+67.16</f>
        <v>1522.9199999999998</v>
      </c>
      <c r="N6" s="1">
        <f>96.64+102.15+86.08</f>
        <v>284.87</v>
      </c>
      <c r="O6" s="1">
        <v>152.91999999999999</v>
      </c>
      <c r="P6" s="1">
        <v>67.16</v>
      </c>
      <c r="Q6" s="1">
        <v>102.15</v>
      </c>
      <c r="R6" s="1">
        <v>86.08</v>
      </c>
    </row>
    <row r="7" spans="1:25" x14ac:dyDescent="0.2">
      <c r="A7" s="1">
        <v>6</v>
      </c>
      <c r="B7" t="s">
        <v>47</v>
      </c>
      <c r="C7" t="s">
        <v>19</v>
      </c>
      <c r="D7" s="1">
        <f t="shared" si="0"/>
        <v>3</v>
      </c>
      <c r="E7" s="1">
        <f t="shared" si="1"/>
        <v>14</v>
      </c>
      <c r="F7" s="1">
        <v>2</v>
      </c>
      <c r="G7" s="1">
        <v>12</v>
      </c>
      <c r="H7" s="1">
        <v>1</v>
      </c>
      <c r="I7" s="1">
        <v>2</v>
      </c>
      <c r="J7" s="1">
        <v>0</v>
      </c>
      <c r="K7" s="1">
        <v>1</v>
      </c>
      <c r="L7" s="1">
        <f t="shared" si="2"/>
        <v>1365.44</v>
      </c>
      <c r="M7" s="1">
        <f>88.47+75.45+55.27+82.61+62.97+60.84+74.76+55.89+64.64+81.45+86.11+112.93+104.52+75.84</f>
        <v>1081.75</v>
      </c>
      <c r="N7" s="1">
        <f>84.66+117.97+81.06</f>
        <v>283.69</v>
      </c>
      <c r="O7" s="1">
        <v>112.93</v>
      </c>
      <c r="P7" s="1">
        <v>55.27</v>
      </c>
      <c r="Q7" s="1">
        <v>117.97</v>
      </c>
      <c r="R7" s="1">
        <v>81.06</v>
      </c>
    </row>
    <row r="8" spans="1:25" x14ac:dyDescent="0.2">
      <c r="A8" s="1">
        <v>7</v>
      </c>
      <c r="B8" t="s">
        <v>14</v>
      </c>
      <c r="C8" t="s">
        <v>15</v>
      </c>
      <c r="D8" s="1">
        <f t="shared" si="0"/>
        <v>8</v>
      </c>
      <c r="E8" s="1">
        <f t="shared" si="1"/>
        <v>9</v>
      </c>
      <c r="F8" s="1">
        <v>7</v>
      </c>
      <c r="G8" s="1">
        <v>7</v>
      </c>
      <c r="H8" s="1">
        <v>1</v>
      </c>
      <c r="I8" s="1">
        <v>2</v>
      </c>
      <c r="J8" s="1">
        <v>0</v>
      </c>
      <c r="K8" s="1">
        <v>1</v>
      </c>
      <c r="L8" s="1">
        <f t="shared" si="2"/>
        <v>1473.0700000000002</v>
      </c>
      <c r="M8" s="1">
        <f>56.85+85.79+95.27+91.45+98.6+103.9+67.63+70.85+85.02+96.4+107.02+91.4+107.28+87.18</f>
        <v>1244.6400000000001</v>
      </c>
      <c r="N8" s="1">
        <f>77.15+66.44+84.84</f>
        <v>228.43</v>
      </c>
      <c r="O8" s="1">
        <v>107.28</v>
      </c>
      <c r="P8" s="1">
        <v>56.85</v>
      </c>
      <c r="Q8" s="1">
        <v>84.84</v>
      </c>
      <c r="R8" s="1">
        <v>66.44</v>
      </c>
    </row>
    <row r="9" spans="1:25" x14ac:dyDescent="0.2">
      <c r="A9" s="1">
        <v>8</v>
      </c>
      <c r="B9" t="s">
        <v>16</v>
      </c>
      <c r="C9" t="s">
        <v>17</v>
      </c>
      <c r="D9" s="1">
        <f t="shared" si="0"/>
        <v>7</v>
      </c>
      <c r="E9" s="1">
        <f t="shared" si="1"/>
        <v>10</v>
      </c>
      <c r="F9" s="1">
        <v>7</v>
      </c>
      <c r="G9" s="1">
        <v>7</v>
      </c>
      <c r="H9" s="1">
        <v>0</v>
      </c>
      <c r="I9" s="1">
        <v>3</v>
      </c>
      <c r="J9" s="1">
        <v>0</v>
      </c>
      <c r="K9" s="1">
        <v>1</v>
      </c>
      <c r="L9" s="1">
        <f t="shared" si="2"/>
        <v>1590.2200000000003</v>
      </c>
      <c r="M9" s="1">
        <f>101.92+103.41+85.48+114.28+82.47+72.34+108.88+100.48+113.45+109.28+96.18+100.47+81.48+73.62</f>
        <v>1343.7400000000002</v>
      </c>
      <c r="N9" s="1">
        <f>80.73+88.63+77.12</f>
        <v>246.48000000000002</v>
      </c>
      <c r="O9" s="1">
        <v>114.28</v>
      </c>
      <c r="P9" s="1">
        <v>72.34</v>
      </c>
      <c r="Q9" s="1">
        <v>88.63</v>
      </c>
      <c r="R9" s="1">
        <v>77.12</v>
      </c>
    </row>
    <row r="10" spans="1:25" x14ac:dyDescent="0.2">
      <c r="Q10" s="1"/>
      <c r="R10" s="1"/>
    </row>
    <row r="11" spans="1:25" x14ac:dyDescent="0.2">
      <c r="Q11" s="1"/>
      <c r="R11" s="1"/>
    </row>
  </sheetData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workbookViewId="0">
      <pane xSplit="2" topLeftCell="C1" activePane="topRight" state="frozen"/>
      <selection pane="top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28</v>
      </c>
      <c r="C2" t="s">
        <v>37</v>
      </c>
      <c r="D2" s="1">
        <f>SUM(F2,H2)</f>
        <v>10</v>
      </c>
      <c r="E2" s="1">
        <f>SUM(G2,I2)</f>
        <v>5</v>
      </c>
      <c r="F2" s="1">
        <v>7</v>
      </c>
      <c r="G2" s="1">
        <v>5</v>
      </c>
      <c r="H2" s="1">
        <v>3</v>
      </c>
      <c r="I2" s="1">
        <v>0</v>
      </c>
      <c r="J2" s="1">
        <v>1</v>
      </c>
      <c r="K2" s="1">
        <v>0</v>
      </c>
      <c r="L2" s="1">
        <f>SUM(M2:N2)</f>
        <v>1534.9</v>
      </c>
      <c r="M2" s="1">
        <f>73.64+141.62+90.62+69.37+63.29+65.17+51.65+108.41+81.42+80.51+81.9+108.9+129.77+81.63</f>
        <v>1227.9000000000001</v>
      </c>
      <c r="N2" s="1">
        <f>95+96+116</f>
        <v>307</v>
      </c>
      <c r="O2" s="1">
        <v>141.62</v>
      </c>
      <c r="P2" s="1">
        <v>51.65</v>
      </c>
      <c r="Q2" s="1">
        <v>116</v>
      </c>
      <c r="R2" s="1">
        <v>95</v>
      </c>
    </row>
    <row r="3" spans="1:25" x14ac:dyDescent="0.2">
      <c r="A3" s="1">
        <v>2</v>
      </c>
      <c r="B3" t="s">
        <v>29</v>
      </c>
      <c r="C3" t="s">
        <v>41</v>
      </c>
      <c r="D3" s="1">
        <f t="shared" ref="D3:D12" si="0">SUM(F3,H3)</f>
        <v>8</v>
      </c>
      <c r="E3" s="1">
        <f t="shared" ref="E3:E12" si="1">SUM(G3,I3)</f>
        <v>8</v>
      </c>
      <c r="F3" s="1">
        <v>6</v>
      </c>
      <c r="G3" s="1">
        <v>7</v>
      </c>
      <c r="H3" s="1">
        <v>2</v>
      </c>
      <c r="I3" s="1">
        <v>1</v>
      </c>
      <c r="J3" s="1">
        <v>0</v>
      </c>
      <c r="K3" s="1">
        <v>1</v>
      </c>
      <c r="L3" s="1">
        <f t="shared" ref="L3:L12" si="2">SUM(M3:N3)</f>
        <v>1370.37</v>
      </c>
      <c r="M3" s="1">
        <f>102.87+74.04+36.48+76.81+52.02+98.38+79.34+70.1+82.39+84.49+92.65+83.27+106.45+75.08</f>
        <v>1114.3699999999999</v>
      </c>
      <c r="N3" s="1">
        <f>104+109+43</f>
        <v>256</v>
      </c>
      <c r="O3" s="1">
        <v>106.45</v>
      </c>
      <c r="P3" s="1">
        <v>36.479999999999997</v>
      </c>
      <c r="Q3" s="1">
        <v>109</v>
      </c>
      <c r="R3" s="1">
        <v>43</v>
      </c>
    </row>
    <row r="4" spans="1:25" x14ac:dyDescent="0.2">
      <c r="A4" s="1">
        <v>3</v>
      </c>
      <c r="B4" t="s">
        <v>30</v>
      </c>
      <c r="C4" t="s">
        <v>40</v>
      </c>
      <c r="D4" s="1">
        <f t="shared" si="0"/>
        <v>8</v>
      </c>
      <c r="E4" s="1">
        <f t="shared" si="1"/>
        <v>8</v>
      </c>
      <c r="F4" s="1">
        <v>6</v>
      </c>
      <c r="G4" s="1">
        <v>7</v>
      </c>
      <c r="H4" s="1">
        <v>2</v>
      </c>
      <c r="I4" s="1">
        <v>1</v>
      </c>
      <c r="J4" s="1">
        <v>0</v>
      </c>
      <c r="K4" s="1">
        <v>1</v>
      </c>
      <c r="L4" s="1">
        <f t="shared" si="2"/>
        <v>1652.4099999999999</v>
      </c>
      <c r="M4" s="1">
        <f>94.66+106.77+58.88+127.81+87+105.7+86.6+84.08+107.02+81.56+126.82+78.11+94.61+111.79</f>
        <v>1351.4099999999999</v>
      </c>
      <c r="N4" s="1">
        <f>111+90+100</f>
        <v>301</v>
      </c>
      <c r="O4" s="1">
        <v>127.81</v>
      </c>
      <c r="P4" s="1">
        <v>58.88</v>
      </c>
      <c r="Q4" s="1">
        <v>111</v>
      </c>
      <c r="R4" s="1">
        <v>90</v>
      </c>
    </row>
    <row r="5" spans="1:25" x14ac:dyDescent="0.2">
      <c r="A5" s="1">
        <v>4</v>
      </c>
      <c r="B5" t="s">
        <v>16</v>
      </c>
      <c r="C5" t="s">
        <v>17</v>
      </c>
      <c r="D5" s="1">
        <f t="shared" si="0"/>
        <v>8</v>
      </c>
      <c r="E5" s="1">
        <f t="shared" si="1"/>
        <v>8</v>
      </c>
      <c r="F5" s="1">
        <v>7</v>
      </c>
      <c r="G5" s="1">
        <v>6</v>
      </c>
      <c r="H5" s="1">
        <v>1</v>
      </c>
      <c r="I5" s="1">
        <v>2</v>
      </c>
      <c r="J5" s="1">
        <v>0</v>
      </c>
      <c r="K5" s="1">
        <v>1</v>
      </c>
      <c r="L5" s="1">
        <f t="shared" si="2"/>
        <v>1481.22</v>
      </c>
      <c r="M5" s="1">
        <f>85.52+75.19+69.61+75.93+114.05+57.6+98.02+74.4+113.7+80.01+77.47+79.69+90.05+124.98</f>
        <v>1216.22</v>
      </c>
      <c r="N5" s="1">
        <f>113+95+57</f>
        <v>265</v>
      </c>
      <c r="O5" s="1">
        <v>124.98</v>
      </c>
      <c r="P5" s="1">
        <v>57.6</v>
      </c>
      <c r="Q5" s="1">
        <v>113</v>
      </c>
      <c r="R5" s="1">
        <v>57</v>
      </c>
    </row>
    <row r="6" spans="1:25" x14ac:dyDescent="0.2">
      <c r="A6" s="1">
        <v>5</v>
      </c>
      <c r="B6" t="s">
        <v>31</v>
      </c>
      <c r="C6" t="s">
        <v>11</v>
      </c>
      <c r="D6" s="1">
        <f t="shared" si="0"/>
        <v>10</v>
      </c>
      <c r="E6" s="1">
        <f t="shared" si="1"/>
        <v>6</v>
      </c>
      <c r="F6" s="1">
        <v>8</v>
      </c>
      <c r="G6" s="1">
        <v>5</v>
      </c>
      <c r="H6" s="1">
        <v>2</v>
      </c>
      <c r="I6" s="1">
        <v>1</v>
      </c>
      <c r="J6" s="1">
        <v>0</v>
      </c>
      <c r="K6" s="1">
        <v>1</v>
      </c>
      <c r="L6" s="1">
        <f t="shared" si="2"/>
        <v>1540.9700000000003</v>
      </c>
      <c r="M6" s="1">
        <f>91.28+91.47+66.95+108.58+103.27+70.93+84.06+84.21+69.87+115.4+84.95+96.12+83.01+123.87</f>
        <v>1273.9700000000003</v>
      </c>
      <c r="N6" s="1">
        <f>103+85+79</f>
        <v>267</v>
      </c>
      <c r="O6" s="1">
        <v>123.87</v>
      </c>
      <c r="P6" s="1">
        <v>66.95</v>
      </c>
      <c r="Q6" s="1">
        <v>103</v>
      </c>
      <c r="R6" s="1">
        <v>79</v>
      </c>
    </row>
    <row r="7" spans="1:25" x14ac:dyDescent="0.2">
      <c r="A7" s="1">
        <v>6</v>
      </c>
      <c r="B7" t="s">
        <v>32</v>
      </c>
      <c r="C7" t="s">
        <v>38</v>
      </c>
      <c r="D7" s="1">
        <f t="shared" si="0"/>
        <v>12</v>
      </c>
      <c r="E7" s="1">
        <f t="shared" si="1"/>
        <v>4</v>
      </c>
      <c r="F7" s="1">
        <v>11</v>
      </c>
      <c r="G7" s="1">
        <v>2</v>
      </c>
      <c r="H7" s="1">
        <v>1</v>
      </c>
      <c r="I7" s="1">
        <v>2</v>
      </c>
      <c r="J7" s="1">
        <v>0</v>
      </c>
      <c r="K7" s="1">
        <v>1</v>
      </c>
      <c r="L7" s="1">
        <f t="shared" si="2"/>
        <v>1453.8500000000001</v>
      </c>
      <c r="M7" s="1">
        <f>93.9+74.04+85.93+78.28+82.91+97.4+97.64+87.47+97.45+126.33+56.51+75.55+77.04+104.4</f>
        <v>1234.8500000000001</v>
      </c>
      <c r="N7" s="1">
        <f>86+100+33</f>
        <v>219</v>
      </c>
      <c r="O7" s="1">
        <v>126.33</v>
      </c>
      <c r="P7" s="1">
        <v>56.51</v>
      </c>
      <c r="Q7" s="1">
        <v>100</v>
      </c>
      <c r="R7" s="1">
        <v>33</v>
      </c>
    </row>
    <row r="8" spans="1:25" x14ac:dyDescent="0.2">
      <c r="A8" s="1">
        <v>7</v>
      </c>
      <c r="B8" t="s">
        <v>14</v>
      </c>
      <c r="C8" t="s">
        <v>15</v>
      </c>
      <c r="D8" s="1">
        <f t="shared" si="0"/>
        <v>8</v>
      </c>
      <c r="E8" s="1">
        <f t="shared" si="1"/>
        <v>7</v>
      </c>
      <c r="F8" s="1">
        <v>7</v>
      </c>
      <c r="G8" s="1">
        <v>5</v>
      </c>
      <c r="H8" s="1">
        <v>1</v>
      </c>
      <c r="I8" s="1">
        <v>2</v>
      </c>
      <c r="J8" s="1">
        <v>0</v>
      </c>
      <c r="K8" s="1">
        <v>1</v>
      </c>
      <c r="L8" s="1">
        <f t="shared" si="2"/>
        <v>1305.1099999999999</v>
      </c>
      <c r="M8" s="1">
        <f>39.62+68.52+70.36+52.49+71.28+72.03+51.96+123.92+73.7+90.86+67.14+58.46+89.16+124.61</f>
        <v>1054.1099999999999</v>
      </c>
      <c r="N8" s="1">
        <f>61+83+107</f>
        <v>251</v>
      </c>
      <c r="O8" s="1">
        <v>124.61</v>
      </c>
      <c r="P8" s="1">
        <v>39.619999999999997</v>
      </c>
      <c r="Q8" s="1">
        <v>107</v>
      </c>
      <c r="R8" s="1">
        <v>61</v>
      </c>
    </row>
    <row r="9" spans="1:25" x14ac:dyDescent="0.2">
      <c r="A9" s="1">
        <v>8</v>
      </c>
      <c r="B9" t="s">
        <v>33</v>
      </c>
      <c r="C9" t="s">
        <v>9</v>
      </c>
      <c r="D9" s="1">
        <f t="shared" si="0"/>
        <v>7</v>
      </c>
      <c r="E9" s="1">
        <f t="shared" si="1"/>
        <v>8</v>
      </c>
      <c r="F9" s="1">
        <v>6</v>
      </c>
      <c r="G9" s="1">
        <v>6</v>
      </c>
      <c r="H9" s="1">
        <v>1</v>
      </c>
      <c r="I9" s="1">
        <v>2</v>
      </c>
      <c r="J9" s="1">
        <v>0</v>
      </c>
      <c r="K9" s="1">
        <v>1</v>
      </c>
      <c r="L9" s="1">
        <f t="shared" si="2"/>
        <v>1397.2600000000002</v>
      </c>
      <c r="M9" s="1">
        <f>87.18+83+81.7+114.74+71.22+77.45+99.73+101.4+72.94+97.16+61.98+67.17+74.43+62.16</f>
        <v>1152.2600000000002</v>
      </c>
      <c r="N9" s="1">
        <f>72+77+96</f>
        <v>245</v>
      </c>
      <c r="O9" s="1">
        <v>114.74</v>
      </c>
      <c r="P9" s="1">
        <v>61.98</v>
      </c>
      <c r="Q9" s="1">
        <v>96</v>
      </c>
      <c r="R9" s="1">
        <v>72</v>
      </c>
    </row>
    <row r="10" spans="1:25" x14ac:dyDescent="0.2">
      <c r="A10" s="1">
        <v>9</v>
      </c>
      <c r="B10" t="s">
        <v>34</v>
      </c>
      <c r="C10" t="s">
        <v>39</v>
      </c>
      <c r="D10" s="1">
        <f t="shared" si="0"/>
        <v>5</v>
      </c>
      <c r="E10" s="1">
        <f t="shared" si="1"/>
        <v>8</v>
      </c>
      <c r="F10" s="1">
        <v>5</v>
      </c>
      <c r="G10" s="1">
        <v>8</v>
      </c>
      <c r="H10" s="1">
        <v>0</v>
      </c>
      <c r="I10" s="1">
        <v>0</v>
      </c>
      <c r="J10" s="1">
        <v>0</v>
      </c>
      <c r="K10" s="1">
        <v>1</v>
      </c>
      <c r="L10" s="1">
        <f t="shared" si="2"/>
        <v>1010.2600000000002</v>
      </c>
      <c r="M10" s="1">
        <f>77.55+55.96+96.67+51.1+70.35+84.44+68.32+89.62+57.57+42.96+58.12+87.68+106.95+62.97</f>
        <v>1010.2600000000002</v>
      </c>
      <c r="N10" s="1" t="s">
        <v>27</v>
      </c>
      <c r="O10" s="1">
        <v>106.95</v>
      </c>
      <c r="P10" s="1">
        <v>51.1</v>
      </c>
      <c r="Q10" s="1" t="s">
        <v>27</v>
      </c>
      <c r="R10" s="1" t="s">
        <v>27</v>
      </c>
    </row>
    <row r="11" spans="1:25" x14ac:dyDescent="0.2">
      <c r="A11" s="1">
        <v>10</v>
      </c>
      <c r="B11" t="s">
        <v>35</v>
      </c>
      <c r="C11" t="s">
        <v>13</v>
      </c>
      <c r="D11" s="1">
        <f t="shared" si="0"/>
        <v>4</v>
      </c>
      <c r="E11" s="1">
        <f t="shared" si="1"/>
        <v>9</v>
      </c>
      <c r="F11" s="1">
        <v>4</v>
      </c>
      <c r="G11" s="1">
        <v>9</v>
      </c>
      <c r="H11" s="1">
        <v>0</v>
      </c>
      <c r="I11" s="1">
        <v>0</v>
      </c>
      <c r="J11" s="1">
        <v>0</v>
      </c>
      <c r="K11" s="1">
        <v>1</v>
      </c>
      <c r="L11" s="1">
        <f t="shared" si="2"/>
        <v>981.75</v>
      </c>
      <c r="M11" s="1">
        <f>60.58+96.25+70.22+60.08+76+90.65+69.77+35.76+63.72+77.57+89.79+89.1+66.56+35.7</f>
        <v>981.75</v>
      </c>
      <c r="N11" s="1" t="s">
        <v>27</v>
      </c>
      <c r="O11" s="1">
        <v>96.25</v>
      </c>
      <c r="P11" s="1">
        <v>35.700000000000003</v>
      </c>
      <c r="Q11" s="1" t="s">
        <v>27</v>
      </c>
      <c r="R11" s="1" t="s">
        <v>27</v>
      </c>
    </row>
    <row r="12" spans="1:25" x14ac:dyDescent="0.2">
      <c r="A12" s="1">
        <v>11</v>
      </c>
      <c r="B12" t="s">
        <v>36</v>
      </c>
      <c r="C12" t="s">
        <v>42</v>
      </c>
      <c r="D12" s="1">
        <f t="shared" si="0"/>
        <v>3</v>
      </c>
      <c r="E12" s="1">
        <f t="shared" si="1"/>
        <v>10</v>
      </c>
      <c r="F12" s="1">
        <v>3</v>
      </c>
      <c r="G12" s="1">
        <v>10</v>
      </c>
      <c r="H12" s="1">
        <v>0</v>
      </c>
      <c r="I12" s="1">
        <v>0</v>
      </c>
      <c r="J12" s="1">
        <v>0</v>
      </c>
      <c r="K12" s="1">
        <v>1</v>
      </c>
      <c r="L12" s="1">
        <f t="shared" si="2"/>
        <v>936.87</v>
      </c>
      <c r="M12" s="1">
        <f>68.65+71.36+44.23+48.41+68+53.04+36.47+71.72+55.56+80.34+47.79+79.64+70.53+141.13</f>
        <v>936.87</v>
      </c>
      <c r="N12" s="1" t="s">
        <v>27</v>
      </c>
      <c r="O12" s="1">
        <v>141.13</v>
      </c>
      <c r="P12" s="1">
        <v>36.47</v>
      </c>
      <c r="Q12" s="1" t="s">
        <v>27</v>
      </c>
      <c r="R12" s="1" t="s">
        <v>27</v>
      </c>
    </row>
  </sheetData>
  <phoneticPr fontId="0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pane xSplit="2" topLeftCell="C1" activePane="topRight" state="frozen"/>
      <selection pane="top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  <col min="19" max="24" width="9.140625" style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Y1" s="1"/>
    </row>
    <row r="2" spans="1:25" x14ac:dyDescent="0.2">
      <c r="A2" s="1">
        <v>1</v>
      </c>
      <c r="B2" t="s">
        <v>7</v>
      </c>
      <c r="C2" t="s">
        <v>9</v>
      </c>
      <c r="D2" s="1">
        <f t="shared" ref="D2:E7" si="0">SUM(F2,H2)</f>
        <v>10</v>
      </c>
      <c r="E2" s="1">
        <f t="shared" si="0"/>
        <v>7</v>
      </c>
      <c r="F2" s="1">
        <v>7</v>
      </c>
      <c r="G2" s="1">
        <v>7</v>
      </c>
      <c r="H2" s="1">
        <v>3</v>
      </c>
      <c r="I2" s="1">
        <v>0</v>
      </c>
      <c r="J2" s="1">
        <v>1</v>
      </c>
      <c r="K2" s="1">
        <v>0</v>
      </c>
      <c r="L2" s="1">
        <f t="shared" ref="L2:L7" si="1">SUM(M2:N2)</f>
        <v>1286.5</v>
      </c>
      <c r="M2" s="1">
        <f>75.5+80+73.5+122.5+60+78+100.5+76.5+50+87.5+97+58.5+105+60</f>
        <v>1124.5</v>
      </c>
      <c r="N2" s="1">
        <f>90+72</f>
        <v>162</v>
      </c>
      <c r="O2" s="1">
        <v>122.5</v>
      </c>
      <c r="P2" s="1">
        <v>50</v>
      </c>
      <c r="Q2" s="1">
        <v>90</v>
      </c>
      <c r="R2" s="1">
        <v>72</v>
      </c>
    </row>
    <row r="3" spans="1:25" x14ac:dyDescent="0.2">
      <c r="A3" s="1">
        <v>2</v>
      </c>
      <c r="B3" t="s">
        <v>10</v>
      </c>
      <c r="C3" t="s">
        <v>11</v>
      </c>
      <c r="D3" s="1">
        <f t="shared" si="0"/>
        <v>10</v>
      </c>
      <c r="E3" s="1">
        <f t="shared" si="0"/>
        <v>7</v>
      </c>
      <c r="F3" s="1">
        <v>8</v>
      </c>
      <c r="G3" s="1">
        <v>6</v>
      </c>
      <c r="H3" s="1">
        <v>2</v>
      </c>
      <c r="I3" s="1">
        <v>1</v>
      </c>
      <c r="J3" s="1">
        <v>0</v>
      </c>
      <c r="K3" s="1">
        <v>1</v>
      </c>
      <c r="L3" s="1">
        <f t="shared" si="1"/>
        <v>1182</v>
      </c>
      <c r="M3" s="1">
        <f>95.5+49.5+66+62.5+102.5+60.5+93.5+86.5+55+96.5+91.5+78+66+67.5</f>
        <v>1071</v>
      </c>
      <c r="N3" s="1">
        <f>51+60</f>
        <v>111</v>
      </c>
      <c r="O3" s="1">
        <v>102.5</v>
      </c>
      <c r="P3" s="1">
        <v>49.5</v>
      </c>
      <c r="Q3" s="1">
        <v>60</v>
      </c>
      <c r="R3" s="1">
        <v>51</v>
      </c>
    </row>
    <row r="4" spans="1:25" x14ac:dyDescent="0.2">
      <c r="A4" s="1">
        <v>3</v>
      </c>
      <c r="B4" t="s">
        <v>12</v>
      </c>
      <c r="C4" t="s">
        <v>13</v>
      </c>
      <c r="D4" s="1">
        <f t="shared" si="0"/>
        <v>10</v>
      </c>
      <c r="E4" s="1">
        <f t="shared" si="0"/>
        <v>7</v>
      </c>
      <c r="F4" s="1">
        <v>8</v>
      </c>
      <c r="G4" s="1">
        <v>6</v>
      </c>
      <c r="H4" s="1">
        <v>2</v>
      </c>
      <c r="I4" s="1">
        <v>1</v>
      </c>
      <c r="J4" s="1">
        <v>0</v>
      </c>
      <c r="K4" s="1">
        <v>1</v>
      </c>
      <c r="L4" s="1">
        <f t="shared" si="1"/>
        <v>1300</v>
      </c>
      <c r="M4" s="1">
        <f>93+103.5+76+77.5+66.5+88+84.5+75.5+70+56.5+93+65.5+95.5+115</f>
        <v>1160</v>
      </c>
      <c r="N4" s="1">
        <f>80+60</f>
        <v>140</v>
      </c>
      <c r="O4" s="1">
        <v>115</v>
      </c>
      <c r="P4" s="1">
        <v>56.5</v>
      </c>
      <c r="Q4" s="1">
        <v>80</v>
      </c>
      <c r="R4" s="1">
        <v>60</v>
      </c>
    </row>
    <row r="5" spans="1:25" x14ac:dyDescent="0.2">
      <c r="A5" s="1">
        <v>4</v>
      </c>
      <c r="B5" t="s">
        <v>14</v>
      </c>
      <c r="C5" t="s">
        <v>15</v>
      </c>
      <c r="D5" s="1">
        <f t="shared" si="0"/>
        <v>8</v>
      </c>
      <c r="E5" s="1">
        <f t="shared" si="0"/>
        <v>8</v>
      </c>
      <c r="F5" s="1">
        <v>8</v>
      </c>
      <c r="G5" s="1">
        <v>6</v>
      </c>
      <c r="H5" s="1">
        <v>0</v>
      </c>
      <c r="I5" s="1">
        <v>2</v>
      </c>
      <c r="J5" s="1">
        <v>0</v>
      </c>
      <c r="K5" s="1">
        <v>1</v>
      </c>
      <c r="L5" s="1">
        <f t="shared" si="1"/>
        <v>1121.5</v>
      </c>
      <c r="M5" s="1">
        <f>71+80.5+79.5+59.5+65.5+65+66.5+79+53.5+90+91+76+73.5+84</f>
        <v>1034.5</v>
      </c>
      <c r="N5" s="1">
        <f>32+55</f>
        <v>87</v>
      </c>
      <c r="O5" s="1">
        <v>91</v>
      </c>
      <c r="P5" s="1">
        <v>53.5</v>
      </c>
      <c r="Q5" s="1">
        <v>55</v>
      </c>
      <c r="R5" s="1">
        <v>32</v>
      </c>
    </row>
    <row r="6" spans="1:25" x14ac:dyDescent="0.2">
      <c r="A6" s="1">
        <v>5</v>
      </c>
      <c r="B6" t="s">
        <v>16</v>
      </c>
      <c r="C6" t="s">
        <v>17</v>
      </c>
      <c r="D6" s="1">
        <f t="shared" si="0"/>
        <v>8</v>
      </c>
      <c r="E6" s="1">
        <f t="shared" si="0"/>
        <v>7</v>
      </c>
      <c r="F6" s="1">
        <v>7</v>
      </c>
      <c r="G6" s="1">
        <v>7</v>
      </c>
      <c r="H6" s="1">
        <v>1</v>
      </c>
      <c r="I6" s="1">
        <v>0</v>
      </c>
      <c r="J6" s="1">
        <v>0</v>
      </c>
      <c r="K6" s="1">
        <v>1</v>
      </c>
      <c r="L6" s="1">
        <f t="shared" si="1"/>
        <v>1139</v>
      </c>
      <c r="M6" s="1">
        <f>88+60+56.5+81.5+133+64.5+84+47.5+74+64.5+70+91.5+76.5+60.5</f>
        <v>1052</v>
      </c>
      <c r="N6" s="1">
        <f>87</f>
        <v>87</v>
      </c>
      <c r="O6" s="1">
        <v>133</v>
      </c>
      <c r="P6" s="1">
        <v>47.5</v>
      </c>
      <c r="Q6" s="1">
        <v>87</v>
      </c>
      <c r="R6" s="1">
        <v>87</v>
      </c>
    </row>
    <row r="7" spans="1:25" x14ac:dyDescent="0.2">
      <c r="A7" s="1">
        <v>6</v>
      </c>
      <c r="B7" t="s">
        <v>18</v>
      </c>
      <c r="C7" t="s">
        <v>19</v>
      </c>
      <c r="D7" s="1">
        <f t="shared" si="0"/>
        <v>4</v>
      </c>
      <c r="E7" s="1">
        <f t="shared" si="0"/>
        <v>11</v>
      </c>
      <c r="F7" s="1">
        <v>4</v>
      </c>
      <c r="G7" s="1">
        <v>10</v>
      </c>
      <c r="H7" s="1">
        <v>0</v>
      </c>
      <c r="I7" s="1">
        <v>1</v>
      </c>
      <c r="J7" s="1">
        <v>0</v>
      </c>
      <c r="K7" s="1">
        <v>1</v>
      </c>
      <c r="L7" s="1">
        <f t="shared" si="1"/>
        <v>909</v>
      </c>
      <c r="M7" s="1">
        <f>35.5+51.5+76.5+74.5+65+46.5+62.5+64+90.5+80.5+49+62.5+43.5+37</f>
        <v>839</v>
      </c>
      <c r="N7" s="1">
        <f>70</f>
        <v>70</v>
      </c>
      <c r="O7" s="1">
        <v>90.5</v>
      </c>
      <c r="P7" s="1">
        <v>35.5</v>
      </c>
      <c r="Q7" s="1">
        <v>70</v>
      </c>
      <c r="R7" s="1">
        <v>70</v>
      </c>
    </row>
    <row r="8" spans="1:25" x14ac:dyDescent="0.2">
      <c r="Q8" s="1"/>
      <c r="R8" s="1"/>
    </row>
    <row r="9" spans="1:25" x14ac:dyDescent="0.2">
      <c r="Q9" s="1"/>
      <c r="R9" s="1"/>
    </row>
    <row r="10" spans="1:25" x14ac:dyDescent="0.2">
      <c r="Q10" s="1"/>
      <c r="R10" s="1"/>
    </row>
    <row r="11" spans="1:25" x14ac:dyDescent="0.2">
      <c r="Q11" s="1"/>
      <c r="R11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abSelected="1" workbookViewId="0">
      <pane xSplit="2" topLeftCell="C1" activePane="topRight" state="frozen"/>
      <selection pane="topRight"/>
    </sheetView>
  </sheetViews>
  <sheetFormatPr defaultColWidth="10" defaultRowHeight="12.75" x14ac:dyDescent="0.2"/>
  <cols>
    <col min="1" max="1" width="5.28515625" style="56" bestFit="1" customWidth="1"/>
    <col min="2" max="2" width="19.140625" style="57" bestFit="1" customWidth="1"/>
    <col min="3" max="3" width="12.28515625" style="57" bestFit="1" customWidth="1"/>
    <col min="4" max="4" width="8.5703125" style="56" customWidth="1"/>
    <col min="5" max="5" width="7.28515625" style="59" bestFit="1" customWidth="1"/>
    <col min="6" max="7" width="6.140625" style="56" bestFit="1" customWidth="1"/>
    <col min="8" max="8" width="8.5703125" style="56" customWidth="1"/>
    <col min="9" max="9" width="8.7109375" style="56" bestFit="1" customWidth="1"/>
    <col min="10" max="10" width="7.7109375" style="56" bestFit="1" customWidth="1"/>
    <col min="11" max="11" width="8.140625" style="56" bestFit="1" customWidth="1"/>
    <col min="12" max="12" width="7.7109375" style="56" bestFit="1" customWidth="1"/>
    <col min="13" max="13" width="8" style="56" bestFit="1" customWidth="1"/>
    <col min="14" max="14" width="8.5703125" style="56" customWidth="1"/>
    <col min="15" max="15" width="8.85546875" style="56" bestFit="1" customWidth="1"/>
    <col min="16" max="16" width="4.5703125" style="56" bestFit="1" customWidth="1"/>
    <col min="17" max="17" width="8.42578125" style="56" bestFit="1" customWidth="1"/>
    <col min="18" max="18" width="8.7109375" style="56" bestFit="1" customWidth="1"/>
    <col min="19" max="19" width="4.5703125" style="56" bestFit="1" customWidth="1"/>
    <col min="20" max="20" width="5" style="56" bestFit="1" customWidth="1"/>
    <col min="21" max="22" width="8.7109375" style="56" bestFit="1" customWidth="1"/>
    <col min="23" max="23" width="8.85546875" style="56" bestFit="1" customWidth="1"/>
    <col min="24" max="26" width="8.85546875" style="56" customWidth="1"/>
    <col min="27" max="27" width="8.28515625" style="56" bestFit="1" customWidth="1"/>
    <col min="28" max="28" width="8" style="56" bestFit="1" customWidth="1"/>
    <col min="29" max="29" width="8.28515625" style="56" bestFit="1" customWidth="1"/>
    <col min="30" max="30" width="8" style="56" bestFit="1" customWidth="1"/>
    <col min="31" max="31" width="10.85546875" style="56" bestFit="1" customWidth="1"/>
    <col min="32" max="32" width="10.5703125" style="56" bestFit="1" customWidth="1"/>
    <col min="33" max="33" width="8.42578125" style="56" bestFit="1" customWidth="1"/>
    <col min="34" max="34" width="8.140625" style="56" bestFit="1" customWidth="1"/>
    <col min="35" max="35" width="10" style="57" customWidth="1"/>
    <col min="36" max="36" width="10" style="25" customWidth="1"/>
    <col min="37" max="37" width="16.7109375" style="57" hidden="1" customWidth="1"/>
    <col min="38" max="38" width="12.28515625" style="57" hidden="1" customWidth="1"/>
    <col min="39" max="16384" width="10" style="57"/>
  </cols>
  <sheetData>
    <row r="1" spans="1:43" s="35" customFormat="1" ht="26.25" thickBot="1" x14ac:dyDescent="0.25">
      <c r="A1" s="31" t="s">
        <v>20</v>
      </c>
      <c r="B1" s="31" t="s">
        <v>0</v>
      </c>
      <c r="C1" s="31" t="s">
        <v>8</v>
      </c>
      <c r="D1" s="31" t="s">
        <v>81</v>
      </c>
      <c r="E1" s="32" t="s">
        <v>80</v>
      </c>
      <c r="F1" s="31" t="s">
        <v>102</v>
      </c>
      <c r="G1" s="31" t="s">
        <v>101</v>
      </c>
      <c r="H1" s="31" t="s">
        <v>78</v>
      </c>
      <c r="I1" s="31" t="s">
        <v>82</v>
      </c>
      <c r="J1" s="31" t="s">
        <v>97</v>
      </c>
      <c r="K1" s="31" t="s">
        <v>98</v>
      </c>
      <c r="L1" s="31" t="s">
        <v>99</v>
      </c>
      <c r="M1" s="31" t="s">
        <v>100</v>
      </c>
      <c r="N1" s="31" t="s">
        <v>79</v>
      </c>
      <c r="O1" s="31" t="s">
        <v>83</v>
      </c>
      <c r="P1" s="31" t="s">
        <v>5</v>
      </c>
      <c r="Q1" s="31" t="s">
        <v>3</v>
      </c>
      <c r="R1" s="31" t="s">
        <v>116</v>
      </c>
      <c r="S1" s="31" t="s">
        <v>84</v>
      </c>
      <c r="T1" s="31" t="s">
        <v>85</v>
      </c>
      <c r="U1" s="31" t="s">
        <v>86</v>
      </c>
      <c r="V1" s="31" t="s">
        <v>87</v>
      </c>
      <c r="W1" s="31" t="s">
        <v>88</v>
      </c>
      <c r="X1" s="31" t="s">
        <v>122</v>
      </c>
      <c r="Y1" s="31" t="s">
        <v>123</v>
      </c>
      <c r="Z1" s="31" t="s">
        <v>124</v>
      </c>
      <c r="AA1" s="31" t="s">
        <v>93</v>
      </c>
      <c r="AB1" s="31" t="s">
        <v>94</v>
      </c>
      <c r="AC1" s="31" t="s">
        <v>89</v>
      </c>
      <c r="AD1" s="31" t="s">
        <v>90</v>
      </c>
      <c r="AE1" s="31" t="s">
        <v>91</v>
      </c>
      <c r="AF1" s="31" t="s">
        <v>92</v>
      </c>
      <c r="AG1" s="31" t="s">
        <v>103</v>
      </c>
      <c r="AH1" s="31" t="s">
        <v>104</v>
      </c>
      <c r="AI1" s="33"/>
      <c r="AJ1" s="34"/>
      <c r="AK1" s="33" t="str">
        <f>B1</f>
        <v>Team</v>
      </c>
      <c r="AL1" s="33" t="str">
        <f>C1</f>
        <v>Manager</v>
      </c>
      <c r="AM1" s="33"/>
      <c r="AN1" s="33"/>
      <c r="AO1" s="33"/>
      <c r="AP1" s="33"/>
      <c r="AQ1" s="33"/>
    </row>
    <row r="2" spans="1:43" s="35" customFormat="1" ht="13.5" thickBot="1" x14ac:dyDescent="0.25">
      <c r="A2" s="45" t="s">
        <v>118</v>
      </c>
      <c r="B2" s="46"/>
      <c r="C2" s="47"/>
      <c r="D2" s="47"/>
      <c r="E2" s="48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9"/>
      <c r="AI2" s="33"/>
      <c r="AJ2" s="34"/>
      <c r="AK2" s="33"/>
      <c r="AL2" s="33"/>
      <c r="AM2" s="33"/>
      <c r="AN2" s="33"/>
      <c r="AO2" s="33"/>
      <c r="AP2" s="33"/>
      <c r="AQ2" s="33"/>
    </row>
    <row r="3" spans="1:43" s="51" customFormat="1" x14ac:dyDescent="0.2">
      <c r="A3" s="50">
        <v>1</v>
      </c>
      <c r="B3" s="51" t="s">
        <v>16</v>
      </c>
      <c r="C3" s="51" t="s">
        <v>17</v>
      </c>
      <c r="D3" s="52">
        <f>IF(E3=0,0,F3/E3)</f>
        <v>0.64347826086956517</v>
      </c>
      <c r="E3" s="53">
        <f>SUM(F3:G3)</f>
        <v>230</v>
      </c>
      <c r="F3" s="50">
        <f>SUM('2015'!D10,'2014'!D4,'2013'!D2,'2012'!D6,'2011'!D3,'2010'!D6,'2009'!D4,'2008'!D3,'2007'!D2,'2006'!D2,'2005'!D5,'2004'!D9,'2003'!D5,'2002'!D6)</f>
        <v>148</v>
      </c>
      <c r="G3" s="50">
        <f>SUM('2015'!E10,'2014'!E4,'2013'!E2,'2012'!E6,'2011'!E3,'2010'!E6,'2009'!E4,'2008'!E3,'2007'!E2,'2006'!E2,'2005'!E5,'2004'!E9,'2003'!E5,'2002'!E6)</f>
        <v>82</v>
      </c>
      <c r="H3" s="52">
        <f t="shared" ref="H3:H9" si="0">IF(I3=0,0,J3/I3)</f>
        <v>0.64583333333333337</v>
      </c>
      <c r="I3" s="50">
        <f>SUM(J3:K3)</f>
        <v>192</v>
      </c>
      <c r="J3" s="50">
        <f>SUM('2015'!F10,'2014'!F4,'2013'!F2,'2012'!F6,'2011'!F3,'2010'!F6,'2009'!F4,'2008'!F3,'2007'!F2,'2006'!F2,'2005'!F5,'2004'!F9,'2003'!F5,'2002'!F6)</f>
        <v>124</v>
      </c>
      <c r="K3" s="50">
        <f>SUM('2015'!G10,'2014'!G4,'2013'!G2,'2012'!G6,'2011'!G3,'2010'!G6,'2009'!G4,'2008'!G3,'2007'!G2,'2006'!G2,'2005'!G5,'2004'!G9,'2003'!G5,'2002'!G6)</f>
        <v>68</v>
      </c>
      <c r="L3" s="50">
        <f>MAX('2015'!F10,'2014'!F4,'2013'!F2,'2012'!F6,'2011'!F3,'2010'!F6,'2009'!F4,'2008'!F3,'2007'!F2,'2006'!F2,'2005'!F5,'2004'!F9,'2003'!F5,'2002'!F6)</f>
        <v>13</v>
      </c>
      <c r="M3" s="50">
        <f>MIN('2015'!G10,'2014'!G4,'2013'!G2,'2012'!G6,'2011'!G3,'2010'!G6,'2009'!G4,'2008'!G3,'2007'!G2,'2006'!G2,'2005'!G5,'2004'!G9,'2003'!G5,'2002'!G6)</f>
        <v>1</v>
      </c>
      <c r="N3" s="52">
        <f>IF(O3=0,0,P3/O3)</f>
        <v>0.63157894736842102</v>
      </c>
      <c r="O3" s="50">
        <f>SUM(P3,Q3)</f>
        <v>38</v>
      </c>
      <c r="P3" s="50">
        <f>SUM('2015'!H10,'2014'!H4,'2013'!H2,'2012'!H6,'2011'!H3,'2010'!H6,'2009'!H4,'2008'!H3,'2007'!H2,'2006'!H2,'2005'!H5,'2004'!H9,'2003'!H5,'2002'!H6)</f>
        <v>24</v>
      </c>
      <c r="Q3" s="50">
        <f>SUM('2015'!I10,'2014'!I4,'2013'!I2,'2012'!I6,'2011'!I3,'2010'!I6,'2009'!I4,'2008'!I3,'2007'!I2,'2006'!I2,'2005'!I5,'2004'!I9,'2003'!I5,'2002'!I6)</f>
        <v>14</v>
      </c>
      <c r="R3" s="50">
        <f t="shared" ref="R3:R9" si="1">SUM(S3:T3)</f>
        <v>14</v>
      </c>
      <c r="S3" s="50">
        <f>SUM('2015'!J10,'2014'!J4,'2013'!J2,'2012'!J4,'2011'!J8,'2010'!J6,'2009'!J4,'2008'!J3,'2007'!J2,'2006'!J2,'2005'!J5,'2004'!J9,'2003'!J5,'2002'!J6)</f>
        <v>3</v>
      </c>
      <c r="T3" s="50">
        <f>SUM('2015'!K10,'2014'!K4,'2013'!K2,'2012'!K6,'2011'!K3,'2010'!K6,'2009'!K4,'2008'!K3,'2007'!K2,'2006'!K2,'2005'!K5,'2004'!K9,'2003'!K5,'2002'!K6)</f>
        <v>11</v>
      </c>
      <c r="U3" s="50">
        <f>SUM('2015'!L10,'2014'!L4,'2013'!L2,'2012'!L6,'2011'!L3,'2010'!L6,'2009'!L4,'2008'!L3,'2007'!L2,'2006'!L2,'2005'!L5,'2004'!L9,'2003'!L5,'2002'!L6)</f>
        <v>22972.860000000004</v>
      </c>
      <c r="V3" s="50">
        <f>SUM('2015'!M10,'2014'!M4,'2013'!M2,'2012'!M6,'2011'!M3,'2010'!M6,'2009'!M4,'2008'!M3,'2007'!M2,'2006'!M2,'2005'!M5,'2004'!M9,'2003'!M5,'2002'!M6)</f>
        <v>19145.940000000002</v>
      </c>
      <c r="W3" s="50">
        <f>SUM('2015'!N13,'2014'!N5,'2013'!N9,'2012'!N4,'2011'!N8,'2010'!N6,'2009'!N4,'2008'!N3,'2007'!N2,'2006'!N2,'2005'!N5,'2004'!N9,'2003'!N5,'2002'!N6)</f>
        <v>3725.89</v>
      </c>
      <c r="X3" s="50">
        <f t="shared" ref="X3:X10" si="2">U3/E3</f>
        <v>99.882000000000019</v>
      </c>
      <c r="Y3" s="50">
        <f t="shared" ref="Y3:Y9" si="3">V3/I3</f>
        <v>99.718437500000007</v>
      </c>
      <c r="Z3" s="50">
        <f t="shared" ref="Z3:Z10" si="4">W3/O3</f>
        <v>98.049736842105261</v>
      </c>
      <c r="AA3" s="50">
        <f>MAX('2015'!L10,'2014'!L4,'2013'!L2,'2012'!L6,'2011'!L3,'2010'!L6,'2009'!L4,'2008'!L3,'2007'!L2,'2006'!L2,'2005'!L5,'2004'!L9,'2003'!L5,'2002'!L6)</f>
        <v>2052.1799999999998</v>
      </c>
      <c r="AB3" s="50">
        <f>MIN('2015'!L10,'2014'!L4,'2013'!L2,'2012'!L6,'2011'!L3,'2010'!L6,'2009'!L4,'2008'!L3,'2007'!L2,'2006'!L2,'2005'!L5,'2004'!L9,'2003'!L5,'2002'!L6)</f>
        <v>1139</v>
      </c>
      <c r="AC3" s="50">
        <f>MAX('2015'!M10,'2014'!M4,'2013'!M2,'2012'!M6,'2011'!M3,'2010'!M6,'2009'!M4,'2008'!M3,'2007'!M2,'2006'!M2,'2005'!M5,'2004'!M9,'2003'!M5,'2002'!M6)</f>
        <v>1707.76</v>
      </c>
      <c r="AD3" s="50">
        <f>MIN('2015'!M10,'2014'!M4,'2013'!M2,'2012'!M6,'2011'!M3,'2010'!M6,'2009'!M4,'2008'!M3,'2007'!M2,'2006'!M2,'2005'!M5,'2004'!M9,'2003'!M5,'2002'!M6)</f>
        <v>1052</v>
      </c>
      <c r="AE3" s="50">
        <f>MAX('2015'!O10,'2014'!O4,'2013'!O2,'2012'!O6,'2011'!O3,'2010'!O6,'2009'!O4,'2008'!O3,'2007'!O2,'2006'!O2,'2005'!O5,'2004'!O9,'2003'!O5,'2002'!O6)</f>
        <v>198.74</v>
      </c>
      <c r="AF3" s="50">
        <f>MIN('2015'!P10,'2014'!P4,'2013'!P2,'2012'!P6,'2011'!P3,'2010'!P6,'2009'!P4,'2008'!P3,'2007'!P2,'2006'!P2,'2005'!P5,'2004'!P9,'2003'!P5,'2002'!P6)</f>
        <v>42.72</v>
      </c>
      <c r="AG3" s="50">
        <f>MAX('2015'!Q10,'2014'!Q4,'2013'!Q2,'2012'!Q6,'2011'!Q3,'2010'!Q6,'2009'!Q4,'2008'!Q3,'2007'!Q2,'2006'!Q2,'2005'!Q5,'2004'!Q9,'2003'!Q5,'2002'!Q6)</f>
        <v>163.86</v>
      </c>
      <c r="AH3" s="50">
        <f>MIN('2015'!R10,'2014'!R4,'2013'!R2,'2012'!R6,'2011'!R3,'2010'!R6,'2009'!R4,'2008'!R3,'2007'!R2,'2006'!R2,'2005'!R5,'2004'!R9,'2003'!R5,'2002'!R6)</f>
        <v>57</v>
      </c>
      <c r="AJ3" s="54"/>
      <c r="AK3" s="50" t="str">
        <f t="shared" ref="AK3:AL5" si="5">B3</f>
        <v>Wizards</v>
      </c>
      <c r="AL3" s="50" t="str">
        <f t="shared" si="5"/>
        <v>R. Patch</v>
      </c>
    </row>
    <row r="4" spans="1:43" s="51" customFormat="1" x14ac:dyDescent="0.2">
      <c r="A4" s="50">
        <v>2</v>
      </c>
      <c r="B4" s="51" t="s">
        <v>50</v>
      </c>
      <c r="C4" s="51" t="s">
        <v>15</v>
      </c>
      <c r="D4" s="52">
        <f>IF(E4=0,0,F4/E4)</f>
        <v>0.60869565217391308</v>
      </c>
      <c r="E4" s="53">
        <f>SUM(F4:G4)</f>
        <v>230</v>
      </c>
      <c r="F4" s="50">
        <f>SUM('2015'!D11,'2014'!D2,'2013'!D3,'2012'!D2,'2011'!D6,'2010'!D3,'2009'!D2,'2008'!D2,'2007'!D4,'2006'!D6,'2005'!D2,'2004'!D8,'2003'!D8,'2002'!D5)</f>
        <v>140</v>
      </c>
      <c r="G4" s="50">
        <f>SUM('2015'!E11,'2014'!E2,'2013'!E3,'2012'!E2,'2011'!E6,'2010'!E3,'2009'!E2,'2008'!E2,'2007'!E4,'2006'!E6,'2005'!E2,'2004'!E8,'2003'!E8,'2002'!E5)</f>
        <v>90</v>
      </c>
      <c r="H4" s="52">
        <f t="shared" si="0"/>
        <v>0.59685863874345546</v>
      </c>
      <c r="I4" s="50">
        <f>SUM(J4:K4)</f>
        <v>191</v>
      </c>
      <c r="J4" s="50">
        <f>SUM('2015'!F11,'2014'!F2,'2013'!F3,'2012'!F2,'2011'!F6,'2010'!F3,'2009'!F2,'2008'!F2,'2007'!F4,'2006'!F6,'2005'!F2,'2004'!F8,'2003'!F8,'2002'!F5)</f>
        <v>114</v>
      </c>
      <c r="K4" s="50">
        <f>SUM('2015'!G11,'2014'!G2,'2013'!G3,'2012'!G2,'2011'!G6,'2010'!G3,'2009'!G2,'2008'!G2,'2007'!G4,'2006'!G6,'2005'!G2,'2004'!G8,'2003'!G8,'2002'!G5)</f>
        <v>77</v>
      </c>
      <c r="L4" s="50">
        <f>MAX('2015'!F11,'2014'!F2,'2013'!F3,'2012'!F2,'2011'!F6,'2010'!F3,'2009'!F2,'2008'!F2,'2007'!F4,'2006'!F6,'2005'!F2,'2004'!F8,'2003'!F8,'2002'!F5)</f>
        <v>12</v>
      </c>
      <c r="M4" s="50">
        <f>MIN('2015'!G11,'2014'!G2,'2013'!G3,'2012'!G2,'2011'!G6,'2010'!G3,'2009'!G2,'2008'!G2,'2007'!G4,'2006'!G6,'2005'!G2,'2004'!G8,'2003'!G8,'2002'!G5)</f>
        <v>2</v>
      </c>
      <c r="N4" s="52">
        <f>IF(O4=0,0,P4/O4)</f>
        <v>0.66666666666666663</v>
      </c>
      <c r="O4" s="50">
        <f>SUM(P4,Q4)</f>
        <v>39</v>
      </c>
      <c r="P4" s="50">
        <f>SUM('2015'!H11,'2014'!H2,'2013'!H3,'2012'!H2,'2011'!H6,'2010'!H3,'2009'!H2,'2008'!H2,'2007'!H4,'2006'!H6,'2005'!H2,'2004'!H8,'2003'!H8,'2002'!H5)</f>
        <v>26</v>
      </c>
      <c r="Q4" s="50">
        <f>SUM('2015'!I11,'2014'!I2,'2013'!I3,'2012'!I2,'2011'!I6,'2010'!I3,'2009'!I2,'2008'!I2,'2007'!I4,'2006'!I6,'2005'!I2,'2004'!I8,'2003'!I8,'2002'!I5)</f>
        <v>13</v>
      </c>
      <c r="R4" s="50">
        <f t="shared" si="1"/>
        <v>14</v>
      </c>
      <c r="S4" s="50">
        <f>SUM('2015'!J11,'2014'!J2,'2013'!J3,'2012'!J2,'2011'!J6,'2010'!J3,'2009'!J2,'2008'!J2,'2007'!J4,'2006'!J6,'2005'!J2,'2004'!J8,'2003'!J8,'2002'!J5)</f>
        <v>5</v>
      </c>
      <c r="T4" s="50">
        <f>SUM('2015'!K11,'2014'!K2,'2013'!K3,'2012'!K2,'2011'!K6,'2010'!K3,'2009'!K2,'2008'!K2,'2007'!K4,'2006'!K6,'2005'!K2,'2004'!K8,'2003'!K8,'2002'!K5)</f>
        <v>9</v>
      </c>
      <c r="U4" s="50">
        <f>SUM('2015'!L11,'2014'!L2,'2013'!L3,'2012'!L2,'2011'!L6,'2010'!L3,'2009'!L2,'2008'!L2,'2007'!L4,'2006'!L6,'2005'!L2,'2004'!L8,'2003'!L8,'2002'!L5)</f>
        <v>21829.010000000002</v>
      </c>
      <c r="V4" s="50">
        <f>SUM('2015'!M11,'2014'!M2,'2013'!M3,'2012'!M2,'2011'!M6,'2010'!M3,'2009'!M2,'2008'!M2,'2007'!M4,'2006'!M6,'2005'!M2,'2004'!M8,'2003'!M8,'2002'!M5)</f>
        <v>18041.329999999998</v>
      </c>
      <c r="W4" s="50">
        <f>SUM('2015'!N11,'2014'!N2,'2013'!N3,'2012'!N2,'2011'!N6,'2010'!N3,'2009'!N2,'2008'!N2,'2007'!N4,'2006'!N6,'2005'!N2,'2004'!N8,'2003'!N8,'2002'!N5)</f>
        <v>3787.68</v>
      </c>
      <c r="X4" s="50">
        <f t="shared" ref="X4:X9" si="6">U4/E4</f>
        <v>94.908739130434796</v>
      </c>
      <c r="Y4" s="50">
        <f t="shared" si="3"/>
        <v>94.457225130890038</v>
      </c>
      <c r="Z4" s="50">
        <f t="shared" ref="Z4:Z9" si="7">W4/O4</f>
        <v>97.11999999999999</v>
      </c>
      <c r="AA4" s="50">
        <f>MAX('2015'!L11,'2014'!L2,'2013'!L3,'2012'!L2,'2011'!L6,'2010'!L3,'2009'!L2,'2008'!L2,'2007'!L4,'2006'!L6,'2005'!L2,'2004'!L8,'2003'!L8,'2002'!L5)</f>
        <v>1893.1699999999998</v>
      </c>
      <c r="AB4" s="50">
        <f>MIN('2015'!L11,'2014'!L2,'2013'!L3,'2012'!L2,'2011'!L6,'2010'!L3,'2009'!L2,'2008'!L2,'2007'!L4,'2006'!L6,'2005'!L2,'2004'!L8,'2003'!L8,'2002'!L5)</f>
        <v>1121.5</v>
      </c>
      <c r="AC4" s="50">
        <f>MAX('2015'!M11,'2014'!M2,'2013'!M3,'2012'!M2,'2011'!M6,'2010'!M3,'2009'!M2,'2008'!M2,'2007'!M4,'2006'!M6,'2005'!M2,'2004'!M8,'2003'!M8,'2002'!M5)</f>
        <v>1581.3899999999999</v>
      </c>
      <c r="AD4" s="50">
        <f>MIN('2015'!M11,'2014'!M2,'2013'!M3,'2012'!M2,'2011'!M6,'2010'!M3,'2009'!M2,'2008'!M2,'2007'!M4,'2006'!M6,'2005'!M2,'2004'!M8,'2003'!M8,'2002'!M5)</f>
        <v>1034.5</v>
      </c>
      <c r="AE4" s="50">
        <f>MAX('2015'!O11,'2014'!O2,'2013'!O3,'2012'!O2,'2011'!O6,'2010'!O3,'2009'!O2,'2008'!O2,'2007'!O4,'2006'!O6,'2005'!O2,'2004'!O8,'2003'!O8,'2002'!O5)</f>
        <v>154.4</v>
      </c>
      <c r="AF4" s="50">
        <f>MIN('2015'!P11,'2014'!P2,'2013'!P3,'2012'!P2,'2011'!P6,'2010'!P3,'2009'!P2,'2008'!P2,'2007'!P4,'2006'!P6,'2005'!P2,'2004'!P8,'2003'!P8,'2002'!P5)</f>
        <v>39.619999999999997</v>
      </c>
      <c r="AG4" s="50">
        <f>MAX('2015'!Q11,'2014'!Q2,'2013'!Q3,'2012'!Q2,'2011'!Q6,'2010'!Q3,'2009'!Q2,'2008'!Q2,'2007'!Q4,'2006'!Q6,'2005'!Q2,'2004'!Q8,'2003'!Q8,'2002'!Q5)</f>
        <v>139.46</v>
      </c>
      <c r="AH4" s="50">
        <f>MIN('2015'!R11,'2014'!R2,'2013'!R3,'2012'!R2,'2011'!R6,'2010'!R3,'2009'!R2,'2008'!R2,'2007'!R4,'2006'!R6,'2005'!R2,'2004'!R8,'2003'!R8,'2002'!R5)</f>
        <v>32</v>
      </c>
      <c r="AJ4" s="54"/>
      <c r="AK4" s="50" t="str">
        <f>B4</f>
        <v>DawgPound</v>
      </c>
      <c r="AL4" s="50" t="str">
        <f>C4</f>
        <v>R. Tessmer</v>
      </c>
    </row>
    <row r="5" spans="1:43" s="51" customFormat="1" x14ac:dyDescent="0.2">
      <c r="A5" s="50">
        <v>3</v>
      </c>
      <c r="B5" s="51" t="s">
        <v>144</v>
      </c>
      <c r="C5" s="51" t="s">
        <v>40</v>
      </c>
      <c r="D5" s="52">
        <f>IF(E5=0,0,F5/E5)</f>
        <v>0.59615384615384615</v>
      </c>
      <c r="E5" s="53">
        <f>SUM(F5:G5)</f>
        <v>208</v>
      </c>
      <c r="F5" s="50">
        <f>SUM('2015'!D12,'2014'!D7,'2013'!D5,'2012'!D8,'2011'!D10,'2010'!D7,'2009'!D3,'2008'!D9,'2007'!D10,'2006'!D3,'2005'!D3,'2004'!D2,'2003'!D4)</f>
        <v>124</v>
      </c>
      <c r="G5" s="50">
        <f>SUM('2015'!E12,'2014'!E7,'2013'!E5,'2012'!E8,'2011'!E10,'2010'!E7,'2009'!E3,'2008'!E9,'2007'!E10,'2006'!E3,'2005'!E3,'2004'!E2,'2003'!E4)</f>
        <v>84</v>
      </c>
      <c r="H5" s="52">
        <f t="shared" si="0"/>
        <v>0.6179775280898876</v>
      </c>
      <c r="I5" s="50">
        <f>SUM(J5:K5)</f>
        <v>178</v>
      </c>
      <c r="J5" s="50">
        <f>SUM('2015'!F12,'2014'!F7,'2013'!F5,'2012'!F8,'2011'!F10,'2010'!F7,'2009'!F3,'2008'!F9,'2007'!F10,'2006'!F3,'2005'!F3,'2004'!F2,'2003'!F4)</f>
        <v>110</v>
      </c>
      <c r="K5" s="50">
        <f>SUM('2015'!G12,'2014'!G7,'2013'!G5,'2012'!G8,'2011'!G10,'2010'!G7,'2009'!G3,'2008'!G9,'2007'!G10,'2006'!G3,'2005'!G3,'2004'!G2,'2003'!G4)</f>
        <v>68</v>
      </c>
      <c r="L5" s="50">
        <f>MAX('2015'!F12,'2014'!F7,'2013'!F5,'2012'!F8,'2011'!F10,'2010'!F7,'2009'!F3,'2008'!F9,'2007'!F10,'2006'!F3,'2005'!F3,'2004'!F2,'2003'!F4)</f>
        <v>12</v>
      </c>
      <c r="M5" s="50">
        <f>MIN('2015'!G12,'2014'!G7,'2013'!G5,'2012'!G8,'2011'!G10,'2010'!G7,'2009'!G3,'2008'!G9,'2007'!G10,'2006'!G3,'2005'!G3,'2004'!G2,'2003'!G4)</f>
        <v>2</v>
      </c>
      <c r="N5" s="52">
        <f>IF(O5=0,0,P5/O5)</f>
        <v>0.46666666666666667</v>
      </c>
      <c r="O5" s="50">
        <f>SUM(P5,Q5)</f>
        <v>30</v>
      </c>
      <c r="P5" s="50">
        <f>SUM('2015'!H12,'2014'!H7,'2013'!H5,'2012'!H8,'2011'!H10,'2010'!H7,'2009'!H3,'2008'!H9,'2007'!H10,'2006'!H3,'2005'!H3,'2004'!H2,'2003'!H4)</f>
        <v>14</v>
      </c>
      <c r="Q5" s="50">
        <f>SUM('2015'!I12,'2014'!I7,'2013'!I5,'2012'!I8,'2011'!I10,'2010'!I7,'2009'!I3,'2008'!I9,'2007'!I10,'2006'!I3,'2005'!I3,'2004'!I2,'2003'!I4)</f>
        <v>16</v>
      </c>
      <c r="R5" s="50">
        <f t="shared" si="1"/>
        <v>13</v>
      </c>
      <c r="S5" s="50">
        <f>SUM('2015'!J12,'2014'!J7,'2013'!J5,'2012'!J8,'2011'!J10,'2010'!J7,'2009'!J3,'2008'!J9,'2007'!J10,'2006'!J3,'2005'!J3,'2004'!J2,'2003'!J4)</f>
        <v>1</v>
      </c>
      <c r="T5" s="50">
        <f>SUM('2015'!K12,'2014'!K7,'2013'!K5,'2012'!K8,'2011'!K10,'2010'!K7,'2009'!K3,'2008'!K9,'2007'!K10,'2006'!K3,'2005'!K3,'2004'!K2,'2003'!K4)</f>
        <v>12</v>
      </c>
      <c r="U5" s="50">
        <f>SUM('2015'!L12,'2014'!L7,'2013'!L5,'2012'!L8,'2011'!L10,'2010'!L7,'2009'!L3,'2008'!L9,'2007'!L10,'2006'!L3,'2005'!L3,'2004'!L2,'2003'!L4)</f>
        <v>20668.690000000002</v>
      </c>
      <c r="V5" s="50">
        <f>SUM('2015'!M12,'2014'!M7,'2013'!M5,'2012'!M8,'2011'!M10,'2010'!M7,'2009'!M3,'2008'!M9,'2007'!M10,'2006'!M3,'2005'!M3,'2004'!M2,'2003'!M4)</f>
        <v>17752.739999999998</v>
      </c>
      <c r="W5" s="50">
        <f>SUM('2015'!N12,'2014'!N7,'2013'!N5,'2012'!N8,'2011'!N10,'2010'!N7,'2009'!N3,'2008'!N9,'2007'!N10,'2006'!N3,'2005'!N3,'2004'!N2,'2003'!N4)</f>
        <v>2915.95</v>
      </c>
      <c r="X5" s="50">
        <f t="shared" si="6"/>
        <v>99.368701923076941</v>
      </c>
      <c r="Y5" s="50">
        <f t="shared" si="3"/>
        <v>99.734494382022461</v>
      </c>
      <c r="Z5" s="50">
        <f t="shared" si="7"/>
        <v>97.198333333333323</v>
      </c>
      <c r="AA5" s="50">
        <f>MAX('2015'!L12,'2014'!L7,'2013'!L5,'2012'!L8,'2011'!L10,'2010'!L7,'2009'!L3,'2008'!L9,'2007'!L10,'2006'!L3,'2005'!L3,'2004'!L2,'2003'!L4)</f>
        <v>1950.66</v>
      </c>
      <c r="AB5" s="50">
        <f>MIN('2015'!L12,'2014'!L7,'2013'!L5,'2012'!L8,'2011'!L10,'2010'!L7,'2009'!L3,'2008'!L9,'2007'!L10,'2006'!L3,'2005'!L3,'2004'!L2,'2003'!L4)</f>
        <v>1200.48</v>
      </c>
      <c r="AC5" s="50">
        <f>MAX('2015'!M12,'2014'!M7,'2013'!M5,'2012'!M8,'2011'!M10,'2010'!M7,'2009'!M3,'2008'!M9,'2007'!M10,'2006'!M3,'2005'!M3,'2004'!M2,'2003'!M4)</f>
        <v>1638.46</v>
      </c>
      <c r="AD5" s="50">
        <f>MIN('2015'!M12,'2014'!M7,'2013'!M5,'2012'!M8,'2011'!M10,'2010'!M7,'2009'!M3,'2008'!M9,'2007'!M10,'2006'!M3,'2005'!M3,'2004'!M2,'2003'!M4)</f>
        <v>1200.48</v>
      </c>
      <c r="AE5" s="50">
        <f>MAX('2015'!O12,'2014'!O7,'2013'!O5,'2012'!O8,'2011'!O10,'2010'!O7,'2009'!O3,'2008'!O9,'2007'!O10,'2006'!O3,'2005'!O3,'2004'!O2,'2003'!O4)</f>
        <v>188.32</v>
      </c>
      <c r="AF5" s="50">
        <f>MIN('2015'!P12,'2014'!P7,'2013'!P5,'2012'!P8,'2011'!P10,'2010'!P7,'2009'!P3,'2008'!P9,'2007'!P10,'2006'!P3,'2005'!P3,'2004'!P2,'2003'!P4)</f>
        <v>41.24</v>
      </c>
      <c r="AG5" s="50">
        <f>MAX('2015'!Q12,'2014'!Q7,'2013'!Q5,'2012'!Q8,'2011'!Q10,'2010'!Q7,'2009'!Q3,'2008'!Q9,'2007'!Q10,'2006'!Q3,'2005'!Q3,'2004'!Q2,'2003'!Q4)</f>
        <v>128.88</v>
      </c>
      <c r="AH5" s="50">
        <f>MIN('2015'!R12,'2014'!R7,'2013'!R5,'2012'!R8,'2011'!R10,'2010'!R7,'2009'!R3,'2008'!R9,'2007'!R10,'2006'!R3,'2005'!R3,'2004'!R2,'2003'!R4)</f>
        <v>52.35</v>
      </c>
      <c r="AJ5" s="54"/>
      <c r="AK5" s="50" t="str">
        <f t="shared" si="5"/>
        <v>Boom Town</v>
      </c>
      <c r="AL5" s="50" t="str">
        <f t="shared" si="5"/>
        <v>G. Waddell</v>
      </c>
    </row>
    <row r="6" spans="1:43" s="51" customFormat="1" ht="12.75" customHeight="1" x14ac:dyDescent="0.2">
      <c r="A6" s="50">
        <v>4</v>
      </c>
      <c r="B6" s="55" t="s">
        <v>140</v>
      </c>
      <c r="C6" s="51" t="s">
        <v>61</v>
      </c>
      <c r="D6" s="52">
        <f t="shared" ref="D6" si="8">IF(E6=0,0,F6/E6)</f>
        <v>0.5</v>
      </c>
      <c r="E6" s="53">
        <f t="shared" ref="E6" si="9">SUM(F6:G6)</f>
        <v>148</v>
      </c>
      <c r="F6" s="50">
        <f>SUM('2013'!D8,'2012'!D9,'2011'!D5,'2010'!D8,'2009'!D5,'2008'!D10,'2007'!D7,'2006'!D7,'2005'!D9)</f>
        <v>74</v>
      </c>
      <c r="G6" s="50">
        <f>SUM('2013'!E8,'2012'!E9,'2011'!E5,'2010'!E8,'2009'!E5,'2008'!E10,'2007'!E7,'2006'!E7,'2005'!E9)</f>
        <v>74</v>
      </c>
      <c r="H6" s="52">
        <f t="shared" si="0"/>
        <v>0.53600000000000003</v>
      </c>
      <c r="I6" s="50">
        <f t="shared" ref="I6" si="10">SUM(J6:K6)</f>
        <v>125</v>
      </c>
      <c r="J6" s="50">
        <f>SUM('2013'!F8,'2012'!F9,'2011'!F5,'2010'!F8,'2009'!F5,'2008'!F10,'2007'!F7,'2006'!F7,'2005'!F9)</f>
        <v>67</v>
      </c>
      <c r="K6" s="50">
        <f>SUM('2013'!G8,'2012'!G9,'2011'!G5,'2010'!G8,'2009'!G5,'2008'!G10,'2007'!G7,'2006'!G7,'2005'!G9)</f>
        <v>58</v>
      </c>
      <c r="L6" s="50">
        <f>MAX('2013'!F8,'2012'!F9,'2011'!F5,'2010'!F8,'2009'!F5,'2008'!F10,'2007'!F7,'2006'!F7,'2005'!F9)</f>
        <v>11</v>
      </c>
      <c r="M6" s="50">
        <f>MIN('2013'!G8,'2012'!G9,'2011'!G5,'2010'!G8,'2009'!G5,'2008'!G10,'2007'!G7,'2006'!G7,'2005'!G9)</f>
        <v>3</v>
      </c>
      <c r="N6" s="52">
        <f t="shared" ref="N6" si="11">IF(O6=0,0,P6/O6)</f>
        <v>0.30434782608695654</v>
      </c>
      <c r="O6" s="50">
        <f t="shared" ref="O6" si="12">SUM(P6,Q6)</f>
        <v>23</v>
      </c>
      <c r="P6" s="50">
        <f>SUM('2013'!H8,'2012'!H9,'2011'!H5,'2010'!H8,'2009'!H5,'2008'!H10,'2007'!H7,'2006'!H7,'2005'!H9)</f>
        <v>7</v>
      </c>
      <c r="Q6" s="50">
        <f>SUM('2013'!I8,'2012'!I9,'2011'!I5,'2010'!I8,'2009'!I5,'2008'!I10,'2007'!I7,'2006'!I7,'2005'!I9)</f>
        <v>16</v>
      </c>
      <c r="R6" s="50">
        <f t="shared" si="1"/>
        <v>9</v>
      </c>
      <c r="S6" s="50">
        <f>SUM('2013'!J8,'2012'!J9,'2011'!J5,'2010'!J8,'2009'!J5,'2008'!J10,'2007'!J7,'2006'!J7,'2005'!J9)</f>
        <v>0</v>
      </c>
      <c r="T6" s="50">
        <f>SUM('2013'!K8,'2012'!K9,'2011'!K5,'2010'!K8,'2009'!K5,'2008'!K10,'2007'!K7,'2006'!K7,'2005'!K9)</f>
        <v>9</v>
      </c>
      <c r="U6" s="50">
        <f>SUM('2013'!L8,'2012'!L9,'2011'!L5,'2010'!L8,'2009'!L5,'2008'!L10,'2007'!L7,'2006'!L7,'2005'!L9)</f>
        <v>13401.79</v>
      </c>
      <c r="V6" s="50">
        <f>SUM('2013'!M8,'2012'!M9,'2011'!M5,'2010'!M8,'2009'!M5,'2008'!M10,'2007'!M7,'2006'!M7,'2005'!M9)</f>
        <v>11403.730000000001</v>
      </c>
      <c r="W6" s="50">
        <f>SUM('2013'!N8,'2012'!N9,'2011'!N5,'2010'!N8,'2009'!N5,'2008'!N10,'2007'!N7,'2006'!N7,'2005'!N9)</f>
        <v>1998.06</v>
      </c>
      <c r="X6" s="50">
        <f t="shared" si="6"/>
        <v>90.552635135135148</v>
      </c>
      <c r="Y6" s="50">
        <f t="shared" si="3"/>
        <v>91.22984000000001</v>
      </c>
      <c r="Z6" s="50">
        <f t="shared" si="7"/>
        <v>86.872173913043483</v>
      </c>
      <c r="AA6" s="50">
        <f>MAX('2013'!L8,'2012'!L9,'2011'!L5,'2010'!L8,'2009'!L5,'2008'!L10,'2007'!L7,'2006'!L7,'2005'!L9)</f>
        <v>1727.87</v>
      </c>
      <c r="AB6" s="50">
        <f>MIN('2013'!L8,'2012'!L9,'2011'!L5,'2010'!L8,'2009'!L5,'2008'!L10,'2007'!L7,'2006'!L7,'2005'!L9)</f>
        <v>1232.79</v>
      </c>
      <c r="AC6" s="50">
        <f>MAX('2013'!M8,'2012'!M9,'2011'!M5,'2010'!M8,'2009'!M5,'2008'!M10,'2007'!M7,'2006'!M7,'2005'!M9)</f>
        <v>1452.55</v>
      </c>
      <c r="AD6" s="50">
        <f>MIN('2013'!M8,'2012'!M9,'2011'!M5,'2010'!M8,'2009'!M5,'2008'!M10,'2007'!M7,'2006'!M7,'2005'!M9)</f>
        <v>1100.9000000000001</v>
      </c>
      <c r="AE6" s="50">
        <f>MAX('2013'!O8,'2012'!O9,'2011'!O5,'2010'!O8,'2009'!O5,'2008'!O10,'2007'!O7,'2006'!O7,'2005'!O9)</f>
        <v>153.36000000000001</v>
      </c>
      <c r="AF6" s="50">
        <f>MIN('2013'!P8,'2012'!P9,'2011'!P5,'2010'!P8,'2009'!P5,'2008'!P10,'2007'!P7,'2006'!P7,'2005'!P9)</f>
        <v>40.82</v>
      </c>
      <c r="AG6" s="50">
        <f>MAX('2013'!Q8,'2012'!Q9,'2011'!Q5,'2010'!Q8,'2009'!Q5,'2008'!Q10,'2007'!Q7,'2006'!Q7,'2005'!Q9)</f>
        <v>114.94</v>
      </c>
      <c r="AH6" s="50">
        <f>MIN('2013'!R8,'2012'!R9,'2011'!R5,'2010'!R8,'2009'!R5,'2008'!R10,'2007'!R7,'2006'!R7,'2005'!R9)</f>
        <v>47.75</v>
      </c>
      <c r="AJ6" s="54"/>
      <c r="AK6" s="50" t="str">
        <f t="shared" ref="AK6:AL6" si="13">B6</f>
        <v>DY-NASTY</v>
      </c>
      <c r="AL6" s="50" t="str">
        <f t="shared" si="13"/>
        <v>A. Daleo</v>
      </c>
    </row>
    <row r="7" spans="1:43" s="51" customFormat="1" x14ac:dyDescent="0.2">
      <c r="A7" s="50">
        <v>5</v>
      </c>
      <c r="B7" s="51" t="s">
        <v>143</v>
      </c>
      <c r="C7" s="51" t="s">
        <v>38</v>
      </c>
      <c r="D7" s="52">
        <f>IF(E7=0,0,F7/E7)</f>
        <v>0.49765258215962443</v>
      </c>
      <c r="E7" s="53">
        <f>SUM(F7:G7)</f>
        <v>213</v>
      </c>
      <c r="F7" s="50">
        <f>SUM('2015'!D9,'2014'!D6,'2013'!D4,'2012'!D7,'2011'!D7,'2010'!D2,'2009'!D8,'2008'!D8,'2007'!D6,'2006'!D8,'2005'!D11,'2004'!D5,'2003'!D7)</f>
        <v>106</v>
      </c>
      <c r="G7" s="50">
        <f>SUM('2015'!E9,'2014'!E6,'2013'!E4,'2012'!E7,'2011'!E7,'2010'!E2,'2009'!E8,'2008'!E8,'2007'!E6,'2006'!E8,'2005'!E11,'2004'!E5,'2003'!E7)</f>
        <v>107</v>
      </c>
      <c r="H7" s="52">
        <f t="shared" si="0"/>
        <v>0.5</v>
      </c>
      <c r="I7" s="50">
        <f>SUM(J7:K7)</f>
        <v>178</v>
      </c>
      <c r="J7" s="50">
        <f>SUM('2015'!F9,'2014'!F6,'2013'!F4,'2012'!F7,'2011'!F7,'2010'!F2,'2009'!F8,'2008'!F8,'2007'!F6,'2006'!F8,'2005'!F11,'2004'!F5,'2003'!F7)</f>
        <v>89</v>
      </c>
      <c r="K7" s="50">
        <f>SUM('2015'!G9,'2014'!G6,'2013'!G4,'2012'!G7,'2011'!G7,'2010'!G2,'2009'!G8,'2008'!G8,'2007'!G6,'2006'!G8,'2005'!G11,'2004'!G5,'2003'!G7)</f>
        <v>89</v>
      </c>
      <c r="L7" s="50">
        <f>MAX('2015'!F9,'2014'!F6,'2013'!F4,'2012'!F7,'2011'!F7,'2010'!F2,'2009'!F8,'2008'!F8,'2007'!F6,'2006'!F8,'2005'!F11,'2004'!F5,'2003'!F7)</f>
        <v>11</v>
      </c>
      <c r="M7" s="50">
        <f>MIN('2015'!G9,'2014'!G6,'2013'!G4,'2012'!G7,'2011'!G7,'2010'!G2,'2009'!G8,'2008'!G8,'2007'!G6,'2006'!G8,'2005'!G11,'2004'!G5,'2003'!G7)</f>
        <v>2</v>
      </c>
      <c r="N7" s="52">
        <f>IF(O7=0,0,P7/O7)</f>
        <v>0.48571428571428571</v>
      </c>
      <c r="O7" s="50">
        <f>SUM(P7,Q7)</f>
        <v>35</v>
      </c>
      <c r="P7" s="50">
        <f>SUM('2015'!H9,'2014'!H6,'2013'!H4,'2012'!H7,'2011'!H7,'2010'!H2,'2009'!H8,'2008'!H8,'2007'!H6,'2006'!H8,'2005'!H11,'2004'!H5,'2003'!H7)</f>
        <v>17</v>
      </c>
      <c r="Q7" s="50">
        <f>SUM('2015'!I9,'2014'!I6,'2013'!I4,'2012'!I7,'2011'!I7,'2010'!I2,'2009'!I8,'2008'!I8,'2007'!I6,'2006'!I8,'2005'!I11,'2004'!I5,'2003'!I7)</f>
        <v>18</v>
      </c>
      <c r="R7" s="50">
        <f t="shared" si="1"/>
        <v>13</v>
      </c>
      <c r="S7" s="50">
        <f>SUM('2015'!J9,'2014'!J6,'2013'!J4,'2012'!J7,'2011'!J7,'2010'!J2,'2009'!J8,'2008'!J8,'2007'!J6,'2006'!J8,'2005'!J11,'2004'!J5,'2003'!J7)</f>
        <v>1</v>
      </c>
      <c r="T7" s="50">
        <f>SUM('2015'!K9,'2014'!K6,'2013'!K4,'2012'!K7,'2011'!K7,'2010'!K2,'2009'!K8,'2008'!K8,'2007'!K6,'2006'!K8,'2005'!K11,'2004'!K5,'2003'!K7)</f>
        <v>12</v>
      </c>
      <c r="U7" s="50">
        <f>SUM('2015'!L9,'2014'!L6,'2013'!L4,'2012'!L7,'2011'!L7,'2010'!L2,'2009'!L8,'2008'!L8,'2007'!L6,'2006'!L8,'2005'!L11,'2004'!L5,'2003'!L7)</f>
        <v>19453.63</v>
      </c>
      <c r="V7" s="50">
        <f>SUM('2015'!M9,'2014'!M6,'2013'!M4,'2012'!M7,'2011'!M7,'2010'!M2,'2009'!M8,'2008'!M8,'2007'!M6,'2006'!M8,'2005'!M11,'2004'!M5,'2003'!M7)</f>
        <v>16148.48</v>
      </c>
      <c r="W7" s="50">
        <f>SUM('2015'!N9,'2014'!N6,'2013'!N4,'2012'!N7,'2011'!N7,'2010'!N2,'2009'!N8,'2008'!N8,'2007'!N6,'2006'!N8,'2005'!N11,'2004'!N5,'2003'!N7)</f>
        <v>3305.15</v>
      </c>
      <c r="X7" s="50">
        <f t="shared" si="6"/>
        <v>91.331596244131461</v>
      </c>
      <c r="Y7" s="50">
        <f t="shared" si="3"/>
        <v>90.721797752808982</v>
      </c>
      <c r="Z7" s="50">
        <f t="shared" si="7"/>
        <v>94.432857142857145</v>
      </c>
      <c r="AA7" s="50">
        <f>MAX('2015'!L9,'2014'!L6,'2013'!L4,'2012'!L7,'2011'!L7,'2010'!L2,'2009'!L8,'2008'!L8,'2007'!L6,'2006'!L8,'2005'!L11,'2004'!L5,'2003'!L7)</f>
        <v>1819.1799999999998</v>
      </c>
      <c r="AB7" s="50">
        <f>MIN('2015'!L9,'2014'!L6,'2013'!L4,'2012'!L7,'2011'!L7,'2010'!L2,'2009'!L8,'2008'!L8,'2007'!L6,'2006'!L8,'2005'!L11,'2004'!L5,'2003'!L7)</f>
        <v>1009.81</v>
      </c>
      <c r="AC7" s="50">
        <f>MAX('2015'!M9,'2014'!M6,'2013'!M4,'2012'!M7,'2011'!M7,'2010'!M2,'2009'!M8,'2008'!M8,'2007'!M6,'2006'!M8,'2005'!M11,'2004'!M5,'2003'!M7)</f>
        <v>1467.28</v>
      </c>
      <c r="AD7" s="50">
        <f>MIN('2015'!M9,'2014'!M6,'2013'!M4,'2012'!M7,'2011'!M7,'2010'!M2,'2009'!M8,'2008'!M8,'2007'!M6,'2006'!M8,'2005'!M11,'2004'!M5,'2003'!M7)</f>
        <v>1009.81</v>
      </c>
      <c r="AE7" s="50">
        <f>MAX('2015'!O9,'2014'!O6,'2013'!O4,'2012'!O7,'2011'!O7,'2010'!O2,'2009'!O8,'2008'!O8,'2007'!O6,'2006'!O8,'2005'!O11,'2004'!O5,'2003'!O7)</f>
        <v>152.72</v>
      </c>
      <c r="AF7" s="50">
        <f>MIN('2015'!P9,'2014'!P6,'2013'!P4,'2012'!P7,'2011'!P7,'2010'!P2,'2009'!P8,'2008'!P8,'2007'!P6,'2006'!P8,'2005'!P11,'2004'!P5,'2003'!P7)</f>
        <v>45.09</v>
      </c>
      <c r="AG7" s="50">
        <f>MAX('2015'!Q9,'2014'!Q6,'2013'!Q4,'2012'!Q7,'2011'!Q7,'2010'!Q2,'2009'!Q8,'2008'!Q8,'2007'!Q6,'2006'!Q8,'2005'!Q11,'2004'!Q5,'2003'!Q7)</f>
        <v>160.5</v>
      </c>
      <c r="AH7" s="50">
        <f>MIN('2015'!R9,'2014'!R6,'2013'!R4,'2012'!R7,'2011'!R7,'2010'!R2,'2009'!R8,'2008'!R8,'2007'!R6,'2006'!R8,'2005'!R11,'2004'!R5,'2003'!R7)</f>
        <v>33</v>
      </c>
      <c r="AJ7" s="54"/>
      <c r="AK7" s="50" t="str">
        <f>B7</f>
        <v>BGMoney II</v>
      </c>
      <c r="AL7" s="50" t="str">
        <f>C7</f>
        <v>B. Glossman</v>
      </c>
    </row>
    <row r="8" spans="1:43" s="51" customFormat="1" x14ac:dyDescent="0.2">
      <c r="A8" s="50">
        <v>6</v>
      </c>
      <c r="B8" s="51" t="s">
        <v>45</v>
      </c>
      <c r="C8" s="51" t="s">
        <v>13</v>
      </c>
      <c r="D8" s="52">
        <f>IF(E8=0,0,F8/E8)</f>
        <v>0.47807017543859648</v>
      </c>
      <c r="E8" s="53">
        <f>SUM(F8:G8)</f>
        <v>228</v>
      </c>
      <c r="F8" s="50">
        <f>SUM('2015'!D6,'2014'!D11,'2013'!D6,'2012'!D3,'2011'!D4,'2010'!D5,'2009'!D6,'2008'!D6,'2007'!D9,'2006'!D4,'2005'!D4,'2004'!D4,'2003'!D11,'2002'!D4)</f>
        <v>109</v>
      </c>
      <c r="G8" s="50">
        <f>SUM('2015'!E6,'2014'!E11,'2013'!E6,'2012'!E3,'2011'!E4,'2010'!E5,'2009'!E6,'2008'!E6,'2007'!E9,'2006'!E4,'2005'!E4,'2004'!E4,'2003'!E11,'2002'!E4)</f>
        <v>119</v>
      </c>
      <c r="H8" s="52">
        <f t="shared" si="0"/>
        <v>0.46875</v>
      </c>
      <c r="I8" s="50">
        <f>SUM(J8:K8)</f>
        <v>192</v>
      </c>
      <c r="J8" s="50">
        <f>SUM('2015'!F6,'2014'!F11,'2013'!F6,'2012'!F3,'2011'!F4,'2010'!F5,'2009'!F6,'2008'!F6,'2007'!F9,'2006'!F4,'2005'!F4,'2004'!F4,'2003'!F11,'2002'!F4)</f>
        <v>90</v>
      </c>
      <c r="K8" s="50">
        <f>SUM('2015'!G6,'2014'!G11,'2013'!G6,'2012'!G3,'2011'!G4,'2010'!G5,'2009'!G6,'2008'!G6,'2007'!G9,'2006'!G4,'2005'!G4,'2004'!G4,'2003'!G11,'2002'!G4)</f>
        <v>102</v>
      </c>
      <c r="L8" s="50">
        <f>MAX('2015'!F6,'2014'!F11,'2013'!F6,'2012'!F3,'2011'!F4,'2010'!F5,'2009'!F6,'2008'!F6,'2007'!F9,'2006'!F4,'2005'!F4,'2004'!F4,'2003'!F11,'2002'!F4)</f>
        <v>9</v>
      </c>
      <c r="M8" s="50">
        <f>MIN('2015'!G6,'2014'!G11,'2013'!G6,'2012'!G3,'2011'!G4,'2010'!G5,'2009'!G6,'2008'!G6,'2007'!G9,'2006'!G4,'2005'!G4,'2004'!G4,'2003'!G11,'2002'!G4)</f>
        <v>4</v>
      </c>
      <c r="N8" s="52">
        <f>IF(O8=0,0,P8/O8)</f>
        <v>0.52777777777777779</v>
      </c>
      <c r="O8" s="50">
        <f>SUM(P8,Q8)</f>
        <v>36</v>
      </c>
      <c r="P8" s="50">
        <f>SUM('2015'!H6,'2014'!H11,'2013'!H6,'2012'!H3,'2011'!H4,'2010'!H5,'2009'!H6,'2008'!H6,'2007'!H9,'2006'!H4,'2005'!H4,'2004'!H4,'2003'!H11,'2002'!H4)</f>
        <v>19</v>
      </c>
      <c r="Q8" s="50">
        <f>SUM('2015'!I6,'2014'!I11,'2013'!I6,'2012'!I3,'2011'!I4,'2010'!I5,'2009'!I6,'2008'!I6,'2007'!I9,'2006'!I4,'2005'!I4,'2004'!I4,'2003'!I11,'2002'!I4)</f>
        <v>17</v>
      </c>
      <c r="R8" s="50">
        <f t="shared" si="1"/>
        <v>14</v>
      </c>
      <c r="S8" s="50">
        <f>SUM('2015'!J6,'2014'!J11,'2013'!J6,'2012'!J3,'2011'!J4,'2010'!J5,'2009'!J6,'2008'!J6,'2007'!J9,'2006'!J4,'2005'!J4,'2004'!J4,'2003'!J11,'2002'!J4)</f>
        <v>0</v>
      </c>
      <c r="T8" s="50">
        <f>SUM('2015'!K6,'2014'!K11,'2013'!K6,'2012'!K3,'2011'!K4,'2010'!K5,'2009'!K6,'2008'!K6,'2007'!K9,'2006'!K4,'2005'!K4,'2004'!K4,'2003'!K11,'2002'!K4)</f>
        <v>14</v>
      </c>
      <c r="U8" s="50">
        <f>SUM('2015'!L6,'2014'!L11,'2013'!L6,'2012'!L3,'2011'!L4,'2010'!L5,'2009'!L6,'2008'!L6,'2007'!L9,'2006'!L4,'2005'!L4,'2004'!L4,'2003'!L11,'2002'!L4)</f>
        <v>20823.649999999998</v>
      </c>
      <c r="V8" s="50">
        <f>SUM('2015'!M6,'2014'!M11,'2013'!M6,'2012'!M3,'2011'!M4,'2010'!M5,'2009'!M6,'2008'!M6,'2007'!M9,'2006'!M4,'2005'!M4,'2004'!M4,'2003'!M11,'2002'!M4)</f>
        <v>17547.28</v>
      </c>
      <c r="W8" s="50">
        <f>SUM('2015'!N6,'2014'!N11,'2013'!N6,'2012'!N3,'2011'!N4,'2010'!N5,'2009'!N6,'2008'!N6,'2007'!N9,'2006'!N4,'2005'!N4,'2004'!N4,'2003'!N11,'2002'!N4)</f>
        <v>3276.3700000000003</v>
      </c>
      <c r="X8" s="50">
        <f t="shared" si="6"/>
        <v>91.331798245614024</v>
      </c>
      <c r="Y8" s="50">
        <f t="shared" si="3"/>
        <v>91.392083333333332</v>
      </c>
      <c r="Z8" s="50">
        <f t="shared" si="7"/>
        <v>91.010277777777787</v>
      </c>
      <c r="AA8" s="50">
        <f>MAX('2015'!L6,'2014'!L11,'2013'!L6,'2012'!L3,'2011'!L4,'2010'!L5,'2009'!L6,'2008'!L6,'2007'!L9,'2006'!L4,'2005'!L4,'2004'!L4,'2003'!L11,'2002'!L4)</f>
        <v>1842.8999999999999</v>
      </c>
      <c r="AB8" s="50">
        <f>MIN('2015'!L6,'2014'!L11,'2013'!L6,'2012'!L3,'2011'!L4,'2010'!L5,'2009'!L6,'2008'!L6,'2007'!L9,'2006'!L4,'2005'!L4,'2004'!L4,'2003'!L11,'2002'!L4)</f>
        <v>981.75</v>
      </c>
      <c r="AC8" s="50">
        <f>MAX('2015'!M6,'2014'!M11,'2013'!M6,'2012'!M3,'2011'!M4,'2010'!M5,'2009'!M6,'2008'!M6,'2007'!M9,'2006'!M4,'2005'!M4,'2004'!M4,'2003'!M11,'2002'!M4)</f>
        <v>1434.12</v>
      </c>
      <c r="AD8" s="50">
        <f>MIN('2015'!M6,'2014'!M11,'2013'!M6,'2012'!M3,'2011'!M4,'2010'!M5,'2009'!M6,'2008'!M6,'2007'!M9,'2006'!M4,'2005'!M4,'2004'!M4,'2003'!M11,'2002'!M4)</f>
        <v>981.75</v>
      </c>
      <c r="AE8" s="50">
        <f>MAX('2015'!O6,'2014'!O11,'2013'!O6,'2012'!O3,'2011'!O4,'2010'!O5,'2009'!O6,'2008'!O6,'2007'!O9,'2006'!O4,'2005'!O4,'2004'!O4,'2003'!O11,'2002'!O4)</f>
        <v>161.66</v>
      </c>
      <c r="AF8" s="50">
        <f>MIN('2015'!P6,'2014'!P11,'2013'!P6,'2012'!P3,'2011'!P4,'2010'!P5,'2009'!P6,'2008'!P6,'2007'!P9,'2006'!P4,'2005'!P4,'2004'!P4,'2003'!P11,'2002'!P4)</f>
        <v>35.700000000000003</v>
      </c>
      <c r="AG8" s="50">
        <f>MAX('2015'!Q6,'2014'!Q11,'2013'!Q6,'2012'!Q3,'2011'!Q4,'2010'!Q5,'2009'!Q6,'2008'!Q6,'2007'!Q9,'2006'!Q4,'2005'!Q4,'2004'!Q4,'2003'!Q11,'2002'!Q4)</f>
        <v>181.06</v>
      </c>
      <c r="AH8" s="50">
        <f>MIN('2015'!R6,'2014'!R11,'2013'!R6,'2012'!R3,'2011'!R4,'2010'!R5,'2009'!R6,'2008'!R6,'2007'!R9,'2006'!R4,'2005'!R4,'2004'!R4,'2003'!R11,'2002'!R4)</f>
        <v>43.52</v>
      </c>
      <c r="AJ8" s="54"/>
      <c r="AK8" s="50" t="str">
        <f t="shared" ref="AK8:AL8" si="14">B8</f>
        <v>Rabid Otters</v>
      </c>
      <c r="AL8" s="50" t="str">
        <f t="shared" si="14"/>
        <v>S. Worsley</v>
      </c>
    </row>
    <row r="9" spans="1:43" x14ac:dyDescent="0.2">
      <c r="A9" s="50">
        <v>7</v>
      </c>
      <c r="B9" s="29" t="s">
        <v>127</v>
      </c>
      <c r="C9" s="29" t="s">
        <v>77</v>
      </c>
      <c r="D9" s="26">
        <f>IF(E9=0,0,F9/E9)</f>
        <v>0.47</v>
      </c>
      <c r="E9" s="27">
        <f>SUM(F9:G9)</f>
        <v>100</v>
      </c>
      <c r="F9" s="28">
        <f>SUM('2013'!D10,'2011'!D2,'2010'!D4,'2009'!D9,'2008'!D4,'2007'!D3)</f>
        <v>47</v>
      </c>
      <c r="G9" s="28">
        <f>SUM('2013'!E10,'2011'!E2,'2010'!E4,'2009'!E9,'2008'!E4,'2007'!E3)</f>
        <v>53</v>
      </c>
      <c r="H9" s="26">
        <f t="shared" si="0"/>
        <v>0.44578313253012047</v>
      </c>
      <c r="I9" s="28">
        <f>SUM(J9:K9)</f>
        <v>83</v>
      </c>
      <c r="J9" s="28">
        <f>SUM('2013'!F10,'2011'!F2,'2010'!F4,'2009'!F9,'2008'!F4,'2007'!F3)</f>
        <v>37</v>
      </c>
      <c r="K9" s="28">
        <f>SUM('2013'!G10,'2011'!G2,'2010'!G4,'2009'!G9,'2008'!G4,'2007'!G3)</f>
        <v>46</v>
      </c>
      <c r="L9" s="28">
        <f>MAX('2013'!F10,'2011'!F2,'2010'!F4,'2009'!F9,'2008'!F4,'2007'!F3)</f>
        <v>9</v>
      </c>
      <c r="M9" s="28">
        <f>MIN('2013'!G10,'2011'!G2,'2010'!G4,'2009'!G9,'2008'!G4,'2007'!G3)</f>
        <v>5</v>
      </c>
      <c r="N9" s="26">
        <f>IF(O9=0,0,P9/O9)</f>
        <v>0.52631578947368418</v>
      </c>
      <c r="O9" s="28">
        <f>SUM(P9,Q9)</f>
        <v>19</v>
      </c>
      <c r="P9" s="28">
        <f>SUM('2013'!H10,'2011'!H2,'2010'!H4,'2009'!H9,'2008'!H4,'2007'!H3)</f>
        <v>10</v>
      </c>
      <c r="Q9" s="28">
        <f>SUM('2013'!I9,'2011'!I5,'2010'!I4,'2009'!I9,'2008'!I4,'2007'!I3)</f>
        <v>9</v>
      </c>
      <c r="R9" s="28">
        <f t="shared" si="1"/>
        <v>6</v>
      </c>
      <c r="S9" s="28">
        <f>SUM('2013'!J10,'2011'!J2,'2010'!J4,'2009'!J9,'2008'!J4,'2007'!J3)</f>
        <v>1</v>
      </c>
      <c r="T9" s="28">
        <f>SUM('2013'!K10,'2011'!K2,'2010'!K4,'2009'!K9,'2008'!K4,'2007'!K3)</f>
        <v>5</v>
      </c>
      <c r="U9" s="28">
        <f>SUM('2013'!L10,'2011'!L2,'2010'!L4,'2009'!L9,'2008'!L4,'2007'!L3)</f>
        <v>9183.19</v>
      </c>
      <c r="V9" s="28">
        <f>SUM('2013'!M10,'2011'!M2,'2010'!M4,'2009'!M9,'2008'!M4,'2007'!M3)</f>
        <v>7479.15</v>
      </c>
      <c r="W9" s="28">
        <f>SUM('2013'!N10,'2011'!N2,'2010'!N4,'2009'!N9,'2008'!N4,'2007'!N3)</f>
        <v>1704.04</v>
      </c>
      <c r="X9" s="28">
        <f t="shared" si="6"/>
        <v>91.831900000000005</v>
      </c>
      <c r="Y9" s="28">
        <f t="shared" si="3"/>
        <v>90.110240963855418</v>
      </c>
      <c r="Z9" s="28">
        <f t="shared" si="7"/>
        <v>89.686315789473682</v>
      </c>
      <c r="AA9" s="28">
        <f>MAX('2013'!L10,'2011'!L2,'2010'!L4,'2009'!L9,'2008'!L4,'2007'!L3)</f>
        <v>1674.39</v>
      </c>
      <c r="AB9" s="28">
        <f>MIN('2013'!L10,'2011'!L2,'2010'!L4,'2009'!L9,'2008'!L4,'2007'!L3)</f>
        <v>1427.3800000000003</v>
      </c>
      <c r="AC9" s="28">
        <f>MAX('2013'!M10,'2011'!M2,'2010'!M4,'2009'!M9,'2008'!M4,'2007'!M3)</f>
        <v>1332.42</v>
      </c>
      <c r="AD9" s="28">
        <f>MIN('2013'!M10,'2011'!M2,'2010'!M4,'2009'!M9,'2008'!M4,'2007'!M3)</f>
        <v>1157.9300000000003</v>
      </c>
      <c r="AE9" s="28">
        <f>MAX('2013'!O10,'2011'!O2,'2010'!O4,'2009'!O9,'2008'!O4,'2007'!O3)</f>
        <v>151.38</v>
      </c>
      <c r="AF9" s="28">
        <f>MIN('2013'!P10,'2011'!P2,'2010'!P4,'2009'!P9,'2008'!P4,'2007'!P3)</f>
        <v>45.22</v>
      </c>
      <c r="AG9" s="28">
        <f>MAX('2013'!Q10,'2011'!Q2,'2010'!Q4,'2009'!Q9,'2008'!Q4,'2007'!Q3)</f>
        <v>139.80000000000001</v>
      </c>
      <c r="AH9" s="28">
        <f>MIN('2013'!R10,'2011'!R2,'2010'!R4,'2009'!R9,'2008'!R4,'2007'!R3)</f>
        <v>55.26</v>
      </c>
      <c r="AI9" s="29"/>
      <c r="AK9" s="28" t="str">
        <f>B9</f>
        <v>Itchy Buchholz</v>
      </c>
      <c r="AL9" s="28" t="str">
        <f>C9</f>
        <v>E. Rausher</v>
      </c>
      <c r="AM9" s="29"/>
    </row>
    <row r="10" spans="1:43" x14ac:dyDescent="0.2">
      <c r="A10" s="50">
        <v>8</v>
      </c>
      <c r="B10" s="57" t="s">
        <v>121</v>
      </c>
      <c r="C10" s="57" t="s">
        <v>48</v>
      </c>
      <c r="D10" s="58">
        <f t="shared" ref="D10" si="15">IF(E10=0,0,F10/E10)</f>
        <v>0.43076923076923079</v>
      </c>
      <c r="E10" s="59">
        <f t="shared" ref="E10" si="16">SUM(F10:G10)</f>
        <v>65</v>
      </c>
      <c r="F10" s="56">
        <f>SUM('2008'!D12,'2007'!D5,'2005'!D7,'2004'!D3)</f>
        <v>28</v>
      </c>
      <c r="G10" s="56">
        <f>SUM('2008'!E12,'2007'!E5,'2005'!E7,'2004'!E3)</f>
        <v>37</v>
      </c>
      <c r="H10" s="58">
        <f t="shared" ref="H10" si="17">IF(I10=0,0,J10/I10)</f>
        <v>0.42857142857142855</v>
      </c>
      <c r="I10" s="56">
        <f t="shared" ref="I10" si="18">SUM(J10:K10)</f>
        <v>56</v>
      </c>
      <c r="J10" s="56">
        <f>SUM('2008'!F12,'2007'!F5,'2005'!F7,'2004'!F3)</f>
        <v>24</v>
      </c>
      <c r="K10" s="56">
        <f>SUM('2008'!G12,'2007'!G5,'2005'!G7,'2004'!G3)</f>
        <v>32</v>
      </c>
      <c r="L10" s="56">
        <f>MAX('2008'!F12,'2007'!F5,'2005'!F7,'2004'!F3)</f>
        <v>9</v>
      </c>
      <c r="M10" s="56">
        <f>MIN('2008'!G12,'2007'!G5,'2005'!G7,'2004'!G3)</f>
        <v>5</v>
      </c>
      <c r="N10" s="58">
        <f t="shared" ref="N10" si="19">IF(O10=0,0,P10/O10)</f>
        <v>0.44444444444444442</v>
      </c>
      <c r="O10" s="56">
        <f t="shared" ref="O10" si="20">SUM(P10,Q10)</f>
        <v>9</v>
      </c>
      <c r="P10" s="56">
        <f>SUM('2008'!H12,'2007'!H5,'2005'!H7,'2004'!H3)</f>
        <v>4</v>
      </c>
      <c r="Q10" s="56">
        <f>SUM('2008'!I12,'2007'!I5,'2005'!I7,'2004'!I3)</f>
        <v>5</v>
      </c>
      <c r="R10" s="56">
        <f t="shared" ref="R10" si="21">SUM(S10:T10)</f>
        <v>4</v>
      </c>
      <c r="S10" s="56">
        <f>SUM('2008'!J12,'2007'!J5,'2005'!J7,'2004'!J3)</f>
        <v>0</v>
      </c>
      <c r="T10" s="56">
        <f>SUM('2008'!K12,'2007'!K5,'2005'!K7,'2004'!K3)</f>
        <v>4</v>
      </c>
      <c r="U10" s="56">
        <f>SUM('2008'!L12,'2007'!L5,'2005'!L7,'2004'!L3)</f>
        <v>5528.3099999999995</v>
      </c>
      <c r="V10" s="56">
        <f>SUM('2008'!M12,'2007'!M5,'2005'!M7,'2004'!M3)</f>
        <v>4802.59</v>
      </c>
      <c r="W10" s="56">
        <f>SUM('2008'!N12,'2007'!N5,'2005'!N7,'2004'!N3)</f>
        <v>725.72</v>
      </c>
      <c r="X10" s="56">
        <f t="shared" si="2"/>
        <v>85.05092307692307</v>
      </c>
      <c r="Y10" s="56">
        <f t="shared" ref="Y10" si="22">V10/I10</f>
        <v>85.760535714285723</v>
      </c>
      <c r="Z10" s="56">
        <f t="shared" si="4"/>
        <v>80.635555555555555</v>
      </c>
      <c r="AA10" s="56">
        <f>MAX('2008'!L12,'2007'!L5,'2005'!L7,'2004'!L3)</f>
        <v>1676.03</v>
      </c>
      <c r="AB10" s="56">
        <f>MIN('2008'!L12,'2007'!L5,'2005'!L7,'2004'!L3)</f>
        <v>1018.19</v>
      </c>
      <c r="AC10" s="56">
        <f>MAX('2008'!M12,'2007'!M5,'2005'!M7,'2004'!M3)</f>
        <v>1419.52</v>
      </c>
      <c r="AD10" s="56">
        <f>MIN('2008'!M12,'2007'!M5,'2005'!M7,'2004'!M3)</f>
        <v>1018.19</v>
      </c>
      <c r="AE10" s="56">
        <f>MAX('2008'!O12,'2007'!O5,'2005'!O7,'2004'!O3)</f>
        <v>134.24</v>
      </c>
      <c r="AF10" s="56">
        <f>MIN('2008'!P12,'2007'!P5,'2005'!P7,'2004'!P3)</f>
        <v>53.13</v>
      </c>
      <c r="AG10" s="56">
        <f>MAX('2008'!Q12,'2007'!Q5,'2005'!Q7,'2004'!Q3)</f>
        <v>108.14</v>
      </c>
      <c r="AH10" s="56">
        <f>MIN('2008'!R12,'2007'!R5,'2005'!R7,'2004'!R3)</f>
        <v>35.76</v>
      </c>
      <c r="AK10" s="56" t="str">
        <f t="shared" ref="AK10:AL10" si="23">B10</f>
        <v>Obama Llamas</v>
      </c>
      <c r="AL10" s="56" t="str">
        <f t="shared" si="23"/>
        <v>W. Hotchkiss</v>
      </c>
    </row>
    <row r="11" spans="1:43" s="51" customFormat="1" x14ac:dyDescent="0.2">
      <c r="A11" s="50">
        <v>9</v>
      </c>
      <c r="B11" s="61" t="s">
        <v>74</v>
      </c>
      <c r="C11" s="61" t="s">
        <v>76</v>
      </c>
      <c r="D11" s="62">
        <f>IF(E11=0,0,F11/E11)</f>
        <v>0.40441176470588236</v>
      </c>
      <c r="E11" s="63">
        <f>SUM(F11:G11)</f>
        <v>136</v>
      </c>
      <c r="F11" s="60">
        <f>SUM('2015'!D4,'2014'!D10,'2013'!D11,'2012'!D5,'2011'!D8,'2010'!D11,'2009'!D10,'2008'!D11,'2007'!D11)</f>
        <v>55</v>
      </c>
      <c r="G11" s="60">
        <f>SUM('2015'!E4,'2014'!E10,'2013'!E11,'2012'!E5,'2011'!E8,'2010'!E11,'2009'!E10,'2008'!E11,'2007'!E11)</f>
        <v>81</v>
      </c>
      <c r="H11" s="62">
        <f>IF(I11=0,0,J11/I11)</f>
        <v>0.4065040650406504</v>
      </c>
      <c r="I11" s="60">
        <f>SUM(J11:K11)</f>
        <v>123</v>
      </c>
      <c r="J11" s="60">
        <f>SUM('2015'!F4,'2014'!F10,'2013'!F11,'2012'!F5,'2011'!F8,'2010'!F11,'2009'!F10,'2008'!F11,'2007'!F11)</f>
        <v>50</v>
      </c>
      <c r="K11" s="60">
        <f>SUM('2015'!G4,'2014'!G10,'2013'!G11,'2012'!G5,'2011'!G8,'2010'!G11,'2009'!G10,'2008'!G11,'2007'!G11)</f>
        <v>73</v>
      </c>
      <c r="L11" s="60">
        <f>MAX('2015'!F4,'2014'!F10,'2013'!F11,'2012'!F5,'2011'!F8,'2010'!F11,'2009'!F10,'2008'!F11,'2007'!F11)</f>
        <v>8</v>
      </c>
      <c r="M11" s="60">
        <f>MIN('2015'!G4,'2014'!G10,'2013'!G11,'2012'!G5,'2011'!G8,'2010'!G11,'2009'!G10,'2008'!G11,'2007'!G11)</f>
        <v>5</v>
      </c>
      <c r="N11" s="62">
        <f>IF(O11=0,0,P11/O11)</f>
        <v>0.38461538461538464</v>
      </c>
      <c r="O11" s="60">
        <f>SUM(P11,Q11)</f>
        <v>13</v>
      </c>
      <c r="P11" s="60">
        <f>SUM('2015'!H4,'2014'!H10,'2013'!H11,'2012'!H5,'2011'!H8,'2010'!H11,'2009'!H10,'2008'!H11,'2007'!H11)</f>
        <v>5</v>
      </c>
      <c r="Q11" s="60">
        <f>SUM('2015'!I4,'2014'!I10,'2013'!I11,'2012'!I5,'2011'!I8,'2010'!I11,'2009'!I10,'2008'!I11,'2007'!I11)</f>
        <v>8</v>
      </c>
      <c r="R11" s="60">
        <f>SUM(S11:T11)</f>
        <v>9</v>
      </c>
      <c r="S11" s="60">
        <f>SUM('2015'!J4,'2014'!J10,'2013'!J11,'2012'!J5,'2011'!J8,'2010'!J11,'2009'!J10,'2008'!J11,'2007'!J11)</f>
        <v>0</v>
      </c>
      <c r="T11" s="60">
        <f>SUM('2015'!K4,'2014'!K10,'2013'!K11,'2012'!K5,'2011'!K8,'2010'!K11,'2009'!K10,'2008'!K11,'2007'!K11)</f>
        <v>9</v>
      </c>
      <c r="U11" s="60">
        <f>SUM('2015'!L4,'2014'!L10,'2013'!L11,'2012'!L5,'2011'!L8,'2010'!L11,'2009'!L10,'2008'!L11,'2007'!L11)</f>
        <v>11616.15</v>
      </c>
      <c r="V11" s="60">
        <f>SUM('2015'!M4,'2014'!M10,'2013'!M11,'2012'!M5,'2011'!M8,'2010'!M11,'2009'!M10,'2008'!M11,'2007'!M11)</f>
        <v>10508.01</v>
      </c>
      <c r="W11" s="60">
        <f>SUM('2015'!N4,'2014'!N10,'2013'!N11,'2012'!N5,'2011'!N8,'2010'!N11,'2009'!N10,'2008'!N11,'2007'!N11)</f>
        <v>1108.1399999999999</v>
      </c>
      <c r="X11" s="60">
        <f>U11/E11</f>
        <v>85.412867647058818</v>
      </c>
      <c r="Y11" s="60">
        <f>V11/I11</f>
        <v>85.430975609756103</v>
      </c>
      <c r="Z11" s="60">
        <f>W11/O11</f>
        <v>85.241538461538454</v>
      </c>
      <c r="AA11" s="60">
        <f>MAX('2015'!L4,'2014'!L10,'2013'!L11,'2012'!L5,'2011'!L8,'2010'!L4,'2009'!L9,'2008'!L4,'2007'!L3)</f>
        <v>1722.74</v>
      </c>
      <c r="AB11" s="60">
        <f>MIN('2015'!L4,'2014'!L10,'2013'!L11,'2012'!L5,'2011'!L8,'2010'!L4,'2009'!L9,'2008'!L4,'2007'!L3)</f>
        <v>1312.69</v>
      </c>
      <c r="AC11" s="60">
        <f>MAX('2015'!M4,'2014'!M10,'2013'!M11,'2012'!M5,'2011'!M8,'2010'!M4,'2009'!M9,'2008'!M4,'2007'!M3)</f>
        <v>1449.94</v>
      </c>
      <c r="AD11" s="60">
        <f>MIN('2015'!M4,'2014'!M10,'2013'!M11,'2012'!M5,'2011'!M8,'2010'!M4,'2009'!M9,'2008'!M4,'2007'!M3)</f>
        <v>1117.6500000000001</v>
      </c>
      <c r="AE11" s="60">
        <f>MAX('2015'!O4,'2014'!O10,'2013'!O11,'2012'!O5,'2011'!O8,'2010'!O11,'2009'!O10,'2008'!O11,'2007'!O11)</f>
        <v>141.5</v>
      </c>
      <c r="AF11" s="60">
        <f>MIN('2015'!P4,'2014'!P10,'2013'!P11,'2012'!P5,'2011'!P8,'2010'!P11,'2009'!P10,'2008'!P11,'2007'!P11)</f>
        <v>35.76</v>
      </c>
      <c r="AG11" s="60">
        <f>MAX('2015'!Q4,'2014'!Q10,'2013'!Q11,'2012'!Q5,'2011'!Q8,'2010'!Q11,'2009'!Q10,'2008'!Q11,'2007'!Q11)</f>
        <v>121.93</v>
      </c>
      <c r="AH11" s="60">
        <f>MIN('2015'!R4,'2014'!R10,'2013'!R11,'2012'!R5,'2011'!R8,'2010'!R11,'2009'!R10,'2008'!R11,'2007'!R11)</f>
        <v>54.5</v>
      </c>
      <c r="AI11" s="61"/>
      <c r="AJ11" s="54"/>
      <c r="AK11" s="60" t="str">
        <f>B11</f>
        <v>Knight Train</v>
      </c>
      <c r="AL11" s="60" t="str">
        <f>C11</f>
        <v>J. Druskis</v>
      </c>
      <c r="AM11" s="61"/>
    </row>
    <row r="12" spans="1:43" s="51" customFormat="1" x14ac:dyDescent="0.2">
      <c r="A12" s="50">
        <v>10</v>
      </c>
      <c r="B12" s="61" t="s">
        <v>109</v>
      </c>
      <c r="C12" s="61" t="s">
        <v>19</v>
      </c>
      <c r="D12" s="62">
        <f>IF(E12=0,0,F12/E12)</f>
        <v>0.39790575916230364</v>
      </c>
      <c r="E12" s="63">
        <f>SUM(F12:G12)</f>
        <v>191</v>
      </c>
      <c r="F12" s="60">
        <f>SUM('2015'!D13,'2014'!D5,'2013'!D9,'2012'!D4,'2010'!D9,'2009'!D13,'2008'!D5,'2007'!D8,'2006'!D11,'2005'!D6,'2004'!D7,'2002'!D7)</f>
        <v>76</v>
      </c>
      <c r="G12" s="60">
        <f>SUM('2015'!E13,'2014'!E5,'2013'!E9,'2012'!E4,'2010'!E9,'2009'!E13,'2008'!E5,'2007'!E8,'2006'!E11,'2005'!E6,'2004'!E7,'2002'!E7)</f>
        <v>115</v>
      </c>
      <c r="H12" s="62">
        <f>IF(I12=0,0,J12/I12)</f>
        <v>0.40606060606060607</v>
      </c>
      <c r="I12" s="60">
        <f>SUM(J12:K12)</f>
        <v>165</v>
      </c>
      <c r="J12" s="60">
        <f>SUM('2015'!F13,'2014'!F5,'2013'!F9,'2012'!F4,'2010'!F9,'2009'!F13,'2008'!F5,'2007'!F8,'2006'!F11,'2005'!F6,'2004'!F7,'2002'!F7)</f>
        <v>67</v>
      </c>
      <c r="K12" s="60">
        <f>SUM('2015'!G13,'2014'!G5,'2013'!G9,'2012'!G4,'2010'!G9,'2009'!G13,'2008'!G5,'2007'!G8,'2006'!G11,'2005'!G6,'2004'!G7,'2002'!G7)</f>
        <v>98</v>
      </c>
      <c r="L12" s="60">
        <f>MAX('2015'!F13,'2014'!F5,'2013'!F9,'2012'!F4,'2010'!F9,'2009'!F13,'2008'!F5,'2007'!F8,'2006'!F11,'2005'!F6,'2004'!F7,'2002'!F7)</f>
        <v>8</v>
      </c>
      <c r="M12" s="60">
        <f>MIN('2015'!G13,'2014'!G5,'2013'!G9,'2012'!G4,'2010'!G9,'2009'!G13,'2008'!G5,'2007'!G8,'2006'!G11,'2005'!G6,'2004'!G7,'2002'!G7)</f>
        <v>6</v>
      </c>
      <c r="N12" s="62">
        <f>IF(O12=0,0,P12/O12)</f>
        <v>0.34615384615384615</v>
      </c>
      <c r="O12" s="60">
        <f>SUM(P12,Q12)</f>
        <v>26</v>
      </c>
      <c r="P12" s="60">
        <f>SUM('2015'!H13,'2014'!H5,'2013'!H9,'2012'!H4,'2010'!H9,'2009'!H13,'2008'!H5,'2007'!H8,'2006'!H11,'2005'!H6,'2004'!H7,'2002'!H7)</f>
        <v>9</v>
      </c>
      <c r="Q12" s="60">
        <f>SUM('2015'!I13,'2014'!I5,'2013'!I9,'2012'!I4,'2010'!I9,'2009'!I13,'2008'!I5,'2007'!I8,'2006'!I11,'2005'!I6,'2004'!I7,'2002'!I7)</f>
        <v>17</v>
      </c>
      <c r="R12" s="60">
        <f>SUM(S12:T12)</f>
        <v>12</v>
      </c>
      <c r="S12" s="60">
        <f>SUM('2015'!J13,'2014'!J5,'2013'!J9,'2012'!J4,'2010'!J9,'2009'!J13,'2008'!J5,'2007'!J8,'2006'!J11,'2005'!J6,'2004'!J7,'2002'!J7)</f>
        <v>0</v>
      </c>
      <c r="T12" s="60">
        <f>SUM('2015'!K13,'2014'!K5,'2013'!K9,'2012'!K4,'2010'!K9,'2009'!K13,'2008'!K5,'2007'!K8,'2006'!K11,'2005'!K6,'2004'!K7,'2002'!K7)</f>
        <v>12</v>
      </c>
      <c r="U12" s="60">
        <f>SUM('2015'!L13,'2014'!L5,'2013'!L9,'2012'!L4,'2010'!L9,'2009'!L13,'2008'!L5,'2007'!L8,'2006'!L11,'2005'!L6,'2004'!L7,'2002'!L7)</f>
        <v>16049.700000000003</v>
      </c>
      <c r="V12" s="60">
        <f>SUM('2015'!M13,'2014'!M5,'2013'!M9,'2012'!M4,'2010'!M9,'2009'!M13,'2008'!M5,'2007'!M8,'2006'!M11,'2005'!M6,'2004'!M7,'2002'!M7)</f>
        <v>13662.970000000003</v>
      </c>
      <c r="W12" s="60">
        <f>SUM('2015'!N13,'2014'!N5,'2013'!N9,'2012'!N4,'2010'!N9,'2009'!N13,'2008'!N5,'2007'!N8,'2006'!N11,'2005'!N6,'2004'!N7,'2002'!N7)</f>
        <v>2386.73</v>
      </c>
      <c r="X12" s="60">
        <f>U12/E12</f>
        <v>84.029842931937182</v>
      </c>
      <c r="Y12" s="60">
        <f>V12/I12</f>
        <v>82.805878787878811</v>
      </c>
      <c r="Z12" s="60">
        <f>W12/O12</f>
        <v>91.797307692307697</v>
      </c>
      <c r="AA12" s="60">
        <f>MAX('2015'!L13,'2014'!L5,'2013'!L9,'2012'!L4,'2010'!L9,'2009'!L13,'2008'!L5,'2007'!L8,'2006'!L11,'2005'!L6,'2004'!L7,'2002'!L7)</f>
        <v>1686.9199999999998</v>
      </c>
      <c r="AB12" s="60">
        <f>MIN('2015'!L13,'2014'!L5,'2013'!L9,'2012'!L4,'2010'!L9,'2009'!L13,'2008'!L5,'2007'!L8,'2006'!L11,'2005'!L6,'2004'!L7,'2002'!L7)</f>
        <v>909</v>
      </c>
      <c r="AC12" s="60">
        <f>MAX('2015'!M13,'2014'!M5,'2013'!M9,'2012'!M4,'2010'!M9,'2009'!M13,'2008'!M5,'2007'!M8,'2006'!M11,'2005'!M6,'2004'!M7,'2002'!M7)</f>
        <v>1377.06</v>
      </c>
      <c r="AD12" s="60">
        <f>MIN('2015'!M13,'2014'!M5,'2013'!M9,'2012'!M4,'2010'!M9,'2009'!M13,'2008'!M5,'2007'!M8,'2006'!M11,'2005'!M6,'2004'!M7,'2002'!M7)</f>
        <v>839</v>
      </c>
      <c r="AE12" s="60">
        <f>MAX('2015'!O13,'2014'!O5,'2013'!O9,'2012'!O4,'2010'!O9,'2009'!O13,'2008'!O5,'2007'!O8,'2006'!O11,'2005'!O6,'2004'!O7,'2002'!O7)</f>
        <v>173.76</v>
      </c>
      <c r="AF12" s="60">
        <f>MIN('2015'!P13,'2014'!P5,'2013'!P9,'2012'!P4,'2010'!P9,'2009'!P13,'2008'!P5,'2007'!P8,'2006'!P11,'2005'!P6,'2004'!P7,'2002'!P7)</f>
        <v>35.380000000000003</v>
      </c>
      <c r="AG12" s="60">
        <f>MAX('2015'!Q13,'2014'!Q5,'2013'!Q9,'2012'!Q4,'2010'!Q9,'2009'!Q13,'2008'!Q5,'2007'!Q8,'2006'!Q11,'2005'!Q6,'2004'!Q7,'2002'!Q7)</f>
        <v>140.26</v>
      </c>
      <c r="AH12" s="60">
        <f>MIN('2015'!R13,'2014'!R5,'2013'!R9,'2012'!R4,'2010'!R9,'2009'!R13,'2008'!R5,'2007'!R8,'2006'!R11,'2005'!R6,'2004'!R7,'2002'!R7)</f>
        <v>38.89</v>
      </c>
      <c r="AI12" s="61"/>
      <c r="AJ12" s="54"/>
      <c r="AK12" s="60" t="str">
        <f t="shared" ref="AK12:AL12" si="24">B12</f>
        <v>Juiceman</v>
      </c>
      <c r="AL12" s="60" t="str">
        <f t="shared" si="24"/>
        <v>A. Haszko</v>
      </c>
      <c r="AM12" s="61"/>
    </row>
    <row r="13" spans="1:43" s="29" customFormat="1" ht="12.75" customHeight="1" thickBot="1" x14ac:dyDescent="0.25">
      <c r="A13" s="64">
        <v>11</v>
      </c>
      <c r="B13" s="83" t="s">
        <v>114</v>
      </c>
      <c r="C13" s="83" t="s">
        <v>112</v>
      </c>
      <c r="D13" s="80">
        <f>IF(E13=0,0,F13/E13)</f>
        <v>0.38983050847457629</v>
      </c>
      <c r="E13" s="81">
        <f>SUM(F13:G13)</f>
        <v>59</v>
      </c>
      <c r="F13" s="78">
        <f>SUM('2011'!D11,'2010'!D10,'2009'!D12,'2008'!D7)</f>
        <v>23</v>
      </c>
      <c r="G13" s="78">
        <f>SUM('2011'!E11,'2010'!E10,'2009'!E12,'2008'!E7)</f>
        <v>36</v>
      </c>
      <c r="H13" s="80">
        <f>IF(I13=0,0,J13/I13)</f>
        <v>0.39285714285714285</v>
      </c>
      <c r="I13" s="78">
        <f>SUM(J13:K13)</f>
        <v>56</v>
      </c>
      <c r="J13" s="78">
        <f>SUM('2011'!F11,'2010'!F10,'2009'!F12,'2008'!F7)</f>
        <v>22</v>
      </c>
      <c r="K13" s="78">
        <f>SUM('2011'!G11,'2010'!G10,'2009'!G12,'2008'!G7)</f>
        <v>34</v>
      </c>
      <c r="L13" s="78">
        <f>MAX('2011'!F11,'2010'!F10,'2009'!F12,'2008'!F7)</f>
        <v>8</v>
      </c>
      <c r="M13" s="78">
        <f>MIN('2011'!G11,'2010'!G10,'2009'!G12,'2008'!G7)</f>
        <v>6</v>
      </c>
      <c r="N13" s="80">
        <f>IF(O13=0,0,P13/O13)</f>
        <v>0.33333333333333331</v>
      </c>
      <c r="O13" s="78">
        <f>SUM(P13,Q13)</f>
        <v>3</v>
      </c>
      <c r="P13" s="78">
        <f>SUM('2011'!H11,'2010'!H10,'2009'!H12,'2008'!H7)</f>
        <v>1</v>
      </c>
      <c r="Q13" s="78">
        <f>SUM('2011'!I11,'2010'!I10,'2009'!I12,'2008'!I7)</f>
        <v>2</v>
      </c>
      <c r="R13" s="78">
        <f>SUM(S13:T13)</f>
        <v>4</v>
      </c>
      <c r="S13" s="78">
        <f>SUM('2011'!J11,'2010'!J10,'2009'!J12,'2008'!J7)</f>
        <v>0</v>
      </c>
      <c r="T13" s="78">
        <f>SUM('2011'!K11,'2010'!K10,'2009'!K12,'2008'!K7)</f>
        <v>4</v>
      </c>
      <c r="U13" s="78">
        <f>SUM('2011'!L11,'2010'!L10,'2009'!L12,'2008'!L7)</f>
        <v>4775.9799999999996</v>
      </c>
      <c r="V13" s="78">
        <f>SUM('2011'!M11,'2010'!M10,'2009'!M12,'2008'!M7)</f>
        <v>4533.83</v>
      </c>
      <c r="W13" s="78">
        <f>SUM('2011'!N11,'2010'!N10,'2009'!N12,'2008'!N7)</f>
        <v>242.14999999999998</v>
      </c>
      <c r="X13" s="78">
        <f>U13/E13</f>
        <v>80.948813559322033</v>
      </c>
      <c r="Y13" s="78">
        <f>V13/I13</f>
        <v>80.961249999999993</v>
      </c>
      <c r="Z13" s="78">
        <f>W13/O13</f>
        <v>80.716666666666654</v>
      </c>
      <c r="AA13" s="78">
        <f>MAX('2011'!L11,'2010'!L10,'2009'!L12,'2008'!L7)</f>
        <v>1468.4</v>
      </c>
      <c r="AB13" s="78">
        <f>MIN('2011'!L11,'2010'!L10,'2009'!L12,'2008'!L7)</f>
        <v>1085.78</v>
      </c>
      <c r="AC13" s="78">
        <f>MAX('2011'!M11,'2010'!M10,'2009'!M12,'2008'!M7)</f>
        <v>1226.25</v>
      </c>
      <c r="AD13" s="78">
        <f>MIN('2011'!M11,'2010'!M10,'2009'!M12,'2008'!M7)</f>
        <v>1085.78</v>
      </c>
      <c r="AE13" s="78">
        <f>MAX('2011'!O11,'2010'!O10,'2009'!O12,'2008'!O7)</f>
        <v>119.35</v>
      </c>
      <c r="AF13" s="78">
        <f>MIN('2011'!P11,'2010'!P10,'2009'!P12,'2008'!P7)</f>
        <v>45.45</v>
      </c>
      <c r="AG13" s="78">
        <f>MAX('2011'!Q11,'2010'!Q10,'2009'!Q12,'2008'!Q7)</f>
        <v>108.52</v>
      </c>
      <c r="AH13" s="78">
        <f>MIN('2011'!R11,'2010'!R10,'2009'!R12,'2008'!R7)</f>
        <v>56.42</v>
      </c>
      <c r="AI13" s="79"/>
      <c r="AJ13" s="82"/>
      <c r="AK13" s="78" t="str">
        <f>B13</f>
        <v>The Heenan Family</v>
      </c>
      <c r="AL13" s="78" t="str">
        <f>C13</f>
        <v>R. Pensy</v>
      </c>
      <c r="AM13" s="79"/>
    </row>
    <row r="14" spans="1:43" ht="13.5" thickBot="1" x14ac:dyDescent="0.25">
      <c r="A14" s="65" t="s">
        <v>117</v>
      </c>
      <c r="B14" s="66"/>
      <c r="C14" s="67"/>
      <c r="D14" s="68"/>
      <c r="E14" s="69"/>
      <c r="F14" s="70"/>
      <c r="G14" s="70"/>
      <c r="H14" s="68"/>
      <c r="I14" s="70"/>
      <c r="J14" s="70"/>
      <c r="K14" s="70"/>
      <c r="L14" s="70"/>
      <c r="M14" s="70"/>
      <c r="N14" s="68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1"/>
      <c r="AI14" s="29"/>
      <c r="AK14" s="28"/>
      <c r="AL14" s="28"/>
      <c r="AM14" s="29"/>
    </row>
    <row r="15" spans="1:43" x14ac:dyDescent="0.2">
      <c r="A15" s="28">
        <v>12</v>
      </c>
      <c r="B15" s="72" t="s">
        <v>31</v>
      </c>
      <c r="C15" s="72" t="s">
        <v>11</v>
      </c>
      <c r="D15" s="73">
        <f t="shared" ref="D15:D33" si="25">IF(E15=0,0,F15/E15)</f>
        <v>0.62</v>
      </c>
      <c r="E15" s="74">
        <f t="shared" ref="E15:E33" si="26">SUM(F15:G15)</f>
        <v>50</v>
      </c>
      <c r="F15" s="75">
        <f>SUM('2004'!D6,'2003'!D6,'2002'!D3)</f>
        <v>31</v>
      </c>
      <c r="G15" s="75">
        <f>SUM('2004'!E6,'2003'!E6,'2002'!E3)</f>
        <v>19</v>
      </c>
      <c r="H15" s="73">
        <f t="shared" ref="H15:H33" si="27">IF(I15=0,0,J15/I15)</f>
        <v>0.6097560975609756</v>
      </c>
      <c r="I15" s="75">
        <f t="shared" ref="I15:I33" si="28">SUM(J15:K15)</f>
        <v>41</v>
      </c>
      <c r="J15" s="75">
        <f>SUM('2004'!F6,'2003'!F6,'2002'!F3)</f>
        <v>25</v>
      </c>
      <c r="K15" s="75">
        <f>SUM('2004'!G6,'2003'!G6,'2002'!G3)</f>
        <v>16</v>
      </c>
      <c r="L15" s="75">
        <f>MAX('2004'!F6,'2003'!F6,'2002'!F3)</f>
        <v>9</v>
      </c>
      <c r="M15" s="75">
        <f>MIN('2004'!G6,'2003'!G6,'2002'!G3)</f>
        <v>5</v>
      </c>
      <c r="N15" s="73">
        <f t="shared" ref="N15:N33" si="29">IF(O15=0,0,P15/O15)</f>
        <v>0.66666666666666663</v>
      </c>
      <c r="O15" s="75">
        <f t="shared" ref="O15:O33" si="30">SUM(P15,Q15)</f>
        <v>9</v>
      </c>
      <c r="P15" s="75">
        <f>SUM('2004'!H6,'2003'!H6,'2002'!H3)</f>
        <v>6</v>
      </c>
      <c r="Q15" s="75">
        <f>SUM('2004'!I6,'2003'!I6,'2002'!I3)</f>
        <v>3</v>
      </c>
      <c r="R15" s="75">
        <f t="shared" ref="R15:R21" si="31">SUM(S15:T15)</f>
        <v>3</v>
      </c>
      <c r="S15" s="75">
        <f>SUM('2004'!J6,'2003'!J6,'2002'!J3)</f>
        <v>0</v>
      </c>
      <c r="T15" s="75">
        <f>SUM('2004'!K6,'2003'!K6,'2002'!K3)</f>
        <v>3</v>
      </c>
      <c r="U15" s="75">
        <f>SUM('2004'!L6,'2003'!L6,'2002'!L3)</f>
        <v>4530.76</v>
      </c>
      <c r="V15" s="75">
        <f>SUM('2004'!M6,'2003'!M6,'2002'!M3)</f>
        <v>3867.8900000000003</v>
      </c>
      <c r="W15" s="75">
        <f>SUM('2004'!N6,'2003'!N6,'2002'!N3)</f>
        <v>662.87</v>
      </c>
      <c r="X15" s="75">
        <f t="shared" ref="X15:X33" si="32">U15/E15</f>
        <v>90.615200000000002</v>
      </c>
      <c r="Y15" s="75">
        <f>V15/I15</f>
        <v>94.338780487804883</v>
      </c>
      <c r="Z15" s="28">
        <f>W15/O15</f>
        <v>73.652222222222221</v>
      </c>
      <c r="AA15" s="75">
        <f>MAX('2004'!L6,'2003'!L6,'2002'!L3)</f>
        <v>1807.79</v>
      </c>
      <c r="AB15" s="75">
        <f>MIN('2004'!L6,'2003'!L6,'2002'!L3)</f>
        <v>1182</v>
      </c>
      <c r="AC15" s="75">
        <f>MAX('2004'!M6,'2003'!M6,'2002'!M3)</f>
        <v>1522.9199999999998</v>
      </c>
      <c r="AD15" s="75">
        <f>MIN('2004'!M6,'2003'!M6,'2002'!M3)</f>
        <v>1071</v>
      </c>
      <c r="AE15" s="75">
        <f>MAX('2004'!O6,'2003'!O6,'2002'!O3)</f>
        <v>152.91999999999999</v>
      </c>
      <c r="AF15" s="75">
        <f>MIN('2004'!P6,'2003'!P6,'2002'!P3)</f>
        <v>49.5</v>
      </c>
      <c r="AG15" s="75">
        <f>MAX('2004'!Q6,'2003'!Q6,'2002'!Q3)</f>
        <v>103</v>
      </c>
      <c r="AH15" s="75">
        <f>MIN('2004'!R6,'2003'!R6,'2002'!R3)</f>
        <v>51</v>
      </c>
      <c r="AI15" s="29"/>
      <c r="AK15" s="28" t="str">
        <f t="shared" ref="AK15:AL15" si="33">B15</f>
        <v>Dawn Patrol</v>
      </c>
      <c r="AL15" s="28" t="str">
        <f t="shared" si="33"/>
        <v>J. Howard</v>
      </c>
      <c r="AM15" s="29"/>
    </row>
    <row r="16" spans="1:43" x14ac:dyDescent="0.2">
      <c r="A16" s="56">
        <v>13</v>
      </c>
      <c r="B16" s="57" t="s">
        <v>150</v>
      </c>
      <c r="C16" s="57" t="s">
        <v>142</v>
      </c>
      <c r="D16" s="58">
        <f>IF(E16=0,0,F16/E16)</f>
        <v>0.44444444444444442</v>
      </c>
      <c r="E16" s="59">
        <f>SUM(F16:G16)</f>
        <v>45</v>
      </c>
      <c r="F16" s="56">
        <f>SUM('2015'!D7,'2014'!D8,'2013'!D7)</f>
        <v>20</v>
      </c>
      <c r="G16" s="56">
        <f>SUM('2015'!E7,'2014'!E8,'2013'!E7)</f>
        <v>25</v>
      </c>
      <c r="H16" s="58">
        <f>IF(I16=0,0,J16/I16)</f>
        <v>0.46153846153846156</v>
      </c>
      <c r="I16" s="56">
        <f>SUM(J16:K16)</f>
        <v>39</v>
      </c>
      <c r="J16" s="56">
        <f>SUM('2015'!F7,'2014'!F8,'2013'!F7)</f>
        <v>18</v>
      </c>
      <c r="K16" s="56">
        <f>SUM('2015'!G7,'2014'!G8,'2013'!G7)</f>
        <v>21</v>
      </c>
      <c r="L16" s="56">
        <f>MAX('2015'!F7,'2014'!F8,'2013'!F7)</f>
        <v>9</v>
      </c>
      <c r="M16" s="56">
        <f>MIN('2015'!G7,'2014'!G8,'2013'!G7)</f>
        <v>4</v>
      </c>
      <c r="N16" s="58">
        <f t="shared" ref="N16" si="34">IF(O16=0,0,P16/O16)</f>
        <v>0.33333333333333331</v>
      </c>
      <c r="O16" s="56">
        <f>SUM(P16,Q16)</f>
        <v>6</v>
      </c>
      <c r="P16" s="56">
        <f>SUM('2015'!H7,'2014'!H8,'2013'!H7)</f>
        <v>2</v>
      </c>
      <c r="Q16" s="56">
        <f>SUM('2015'!I7,'2014'!I8,'2013'!I7)</f>
        <v>4</v>
      </c>
      <c r="R16" s="56">
        <f>SUM(S16:T16)</f>
        <v>3</v>
      </c>
      <c r="S16" s="56">
        <f>SUM('2015'!J7,'2014'!J8,'2013'!J7)</f>
        <v>0</v>
      </c>
      <c r="T16" s="56">
        <f>SUM('2015'!K7,'2014'!K8,'2013'!K7)</f>
        <v>3</v>
      </c>
      <c r="U16" s="56">
        <f>SUM('2015'!L7,'2014'!L8,'2013'!L7)</f>
        <v>4531.34</v>
      </c>
      <c r="V16" s="56">
        <f>SUM('2015'!M7,'2014'!M8,'2013'!M7)</f>
        <v>3783.5</v>
      </c>
      <c r="W16" s="56">
        <f>SUM('2015'!N7,'2014'!N8,'2013'!N7)</f>
        <v>747.84</v>
      </c>
      <c r="X16" s="56">
        <f t="shared" ref="X16" si="35">U16/E16</f>
        <v>100.69644444444445</v>
      </c>
      <c r="Y16" s="56">
        <f>V16/I16</f>
        <v>97.012820512820511</v>
      </c>
      <c r="Z16" s="28">
        <f t="shared" ref="Z16" si="36">W16/O16</f>
        <v>124.64</v>
      </c>
      <c r="AA16" s="56">
        <f>MAX('2015'!L7,'2014'!L8,'2013'!L7)</f>
        <v>1710.9</v>
      </c>
      <c r="AB16" s="56">
        <f>MIN('2015'!L7,'2014'!L8,'2013'!L7)</f>
        <v>1359.02</v>
      </c>
      <c r="AC16" s="56">
        <f>MAX('2015'!M7,'2014'!M8,'2013'!M7)</f>
        <v>1367.52</v>
      </c>
      <c r="AD16" s="56">
        <f>MIN('2015'!M7,'2014'!M8,'2013'!M7)</f>
        <v>1161.04</v>
      </c>
      <c r="AE16" s="56">
        <f>MAX('2015'!O7,'2014'!O8,'2013'!O7)</f>
        <v>171.76</v>
      </c>
      <c r="AF16" s="56">
        <f>MIN('2015'!P7,'2014'!P8,'2013'!P7)</f>
        <v>49.52</v>
      </c>
      <c r="AG16" s="56">
        <f>MAX('2015'!Q7,'2014'!Q8,'2013'!Q7)</f>
        <v>138.16</v>
      </c>
      <c r="AH16" s="56">
        <f>MIN('2015'!R7,'2014'!R8,'2013'!R7)</f>
        <v>84.24</v>
      </c>
      <c r="AK16" s="56" t="str">
        <f>B16</f>
        <v>Champions</v>
      </c>
      <c r="AL16" s="56" t="str">
        <f>C16</f>
        <v>C. Cegala</v>
      </c>
    </row>
    <row r="17" spans="1:39" s="51" customFormat="1" ht="12.75" customHeight="1" thickBot="1" x14ac:dyDescent="0.25">
      <c r="A17" s="60">
        <v>14</v>
      </c>
      <c r="B17" s="76" t="s">
        <v>113</v>
      </c>
      <c r="C17" s="76" t="s">
        <v>111</v>
      </c>
      <c r="D17" s="62">
        <f>IF(E17=0,0,F17/E17)</f>
        <v>0.26190476190476192</v>
      </c>
      <c r="E17" s="63">
        <f>SUM(F17:G17)</f>
        <v>42</v>
      </c>
      <c r="F17" s="60">
        <f>SUM('2012'!D11,'2009'!D11,'2008'!D13)</f>
        <v>11</v>
      </c>
      <c r="G17" s="60">
        <f>SUM('2012'!E11,'2009'!E11,'2008'!E13)</f>
        <v>31</v>
      </c>
      <c r="H17" s="62">
        <f>IF(I17=0,0,J17/I17)</f>
        <v>0.26190476190476192</v>
      </c>
      <c r="I17" s="60">
        <f>SUM(J17:K17)</f>
        <v>42</v>
      </c>
      <c r="J17" s="60">
        <f>SUM('2012'!F11,'2009'!F11,'2008'!F13)</f>
        <v>11</v>
      </c>
      <c r="K17" s="60">
        <f>SUM('2012'!G11,'2009'!G11,'2008'!G13)</f>
        <v>31</v>
      </c>
      <c r="L17" s="60">
        <f>MAX('2012'!F11,'2009'!F11,'2008'!F13)</f>
        <v>5</v>
      </c>
      <c r="M17" s="60">
        <f>MIN('2012'!G11,'2009'!G11,'2008'!G13)</f>
        <v>9</v>
      </c>
      <c r="N17" s="62">
        <f>IF(O17=0,0,P17/O17)</f>
        <v>0</v>
      </c>
      <c r="O17" s="60">
        <f>SUM(P17,Q17)</f>
        <v>0</v>
      </c>
      <c r="P17" s="60">
        <f>SUM('2012'!H11,'2009'!H11,'2008'!H13)</f>
        <v>0</v>
      </c>
      <c r="Q17" s="60">
        <f>SUM('2012'!I11,'2009'!I11,'2008'!I13)</f>
        <v>0</v>
      </c>
      <c r="R17" s="60">
        <f>SUM(S17:T17)</f>
        <v>3</v>
      </c>
      <c r="S17" s="60">
        <f>SUM('2012'!J11,'2009'!J11,'2008'!J13)</f>
        <v>0</v>
      </c>
      <c r="T17" s="60">
        <f>SUM('2012'!K11,'2009'!K11,'2008'!K13)</f>
        <v>3</v>
      </c>
      <c r="U17" s="60">
        <f>SUM('2012'!L11,'2009'!L11,'2008'!L13)</f>
        <v>3076.29</v>
      </c>
      <c r="V17" s="60">
        <f>SUM('2012'!M11,'2009'!M11,'2008'!M13)</f>
        <v>3076.29</v>
      </c>
      <c r="W17" s="60">
        <f>SUM('2012'!N11,'2009'!N11,'2008'!N13)</f>
        <v>0</v>
      </c>
      <c r="X17" s="60">
        <f>U17/E17</f>
        <v>73.245000000000005</v>
      </c>
      <c r="Y17" s="60">
        <f>V17/I17</f>
        <v>73.245000000000005</v>
      </c>
      <c r="Z17" s="64" t="s">
        <v>27</v>
      </c>
      <c r="AA17" s="60">
        <f>MAX('2012'!L11,'2009'!L11,'2008'!L13)</f>
        <v>1119.25</v>
      </c>
      <c r="AB17" s="60">
        <f>MIN('2012'!L11,'2009'!L11,'2008'!L13)</f>
        <v>939.06</v>
      </c>
      <c r="AC17" s="60">
        <f>MAX('2012'!M11,'2009'!M11,'2008'!M13)</f>
        <v>1119.25</v>
      </c>
      <c r="AD17" s="60">
        <f>MIN('2012'!M11,'2009'!M11,'2008'!M13)</f>
        <v>939.06</v>
      </c>
      <c r="AE17" s="60">
        <f>MAX('2012'!O11,'2009'!O11,'2008'!O13)</f>
        <v>108.19</v>
      </c>
      <c r="AF17" s="60">
        <f>MIN('2012'!P11,'2009'!P11,'2008'!P13)</f>
        <v>32.47</v>
      </c>
      <c r="AG17" s="60">
        <f>MAX('2012'!Q11,'2009'!Q11,'2008'!Q13)</f>
        <v>0</v>
      </c>
      <c r="AH17" s="60">
        <f>MIN('2012'!R11,'2009'!R11,'2008'!R13)</f>
        <v>0</v>
      </c>
      <c r="AI17" s="61"/>
      <c r="AJ17" s="54"/>
      <c r="AK17" s="60" t="str">
        <f t="shared" ref="AK17:AL17" si="37">B17</f>
        <v>Million Dollar Dream</v>
      </c>
      <c r="AL17" s="60" t="str">
        <f t="shared" si="37"/>
        <v>A. Monnot</v>
      </c>
      <c r="AM17" s="61"/>
    </row>
    <row r="18" spans="1:39" ht="12.75" customHeight="1" x14ac:dyDescent="0.2">
      <c r="A18" s="75">
        <v>15</v>
      </c>
      <c r="B18" s="72" t="s">
        <v>145</v>
      </c>
      <c r="C18" s="72" t="s">
        <v>148</v>
      </c>
      <c r="D18" s="73">
        <f>IF(E18=0,0,F18/E18)</f>
        <v>0.66666666666666663</v>
      </c>
      <c r="E18" s="74">
        <f>SUM(F18:G18)</f>
        <v>30</v>
      </c>
      <c r="F18" s="75">
        <f>SUM('2015'!D3,'2014'!D3)</f>
        <v>20</v>
      </c>
      <c r="G18" s="75">
        <f>SUM('2015'!E3,'2014'!E3)</f>
        <v>10</v>
      </c>
      <c r="H18" s="73">
        <f>IF(I18=0,0,J18/I18)</f>
        <v>0.69230769230769229</v>
      </c>
      <c r="I18" s="75">
        <f>SUM(J18:K18)</f>
        <v>26</v>
      </c>
      <c r="J18" s="75">
        <f>SUM('2015'!F3,'2014'!F3)</f>
        <v>18</v>
      </c>
      <c r="K18" s="75">
        <f>SUM('2015'!G3,'2014'!G3)</f>
        <v>8</v>
      </c>
      <c r="L18" s="75">
        <f>MAX('2015'!F3,'2014'!F3)</f>
        <v>10</v>
      </c>
      <c r="M18" s="75">
        <f>MIN('2015'!G3,'2014'!G3)</f>
        <v>3</v>
      </c>
      <c r="N18" s="73">
        <f>IF(O18=0,0,P18/O18)</f>
        <v>0.5</v>
      </c>
      <c r="O18" s="75">
        <f>SUM(P18,Q18)</f>
        <v>4</v>
      </c>
      <c r="P18" s="75">
        <f>SUM('2015'!H3,'2014'!H3)</f>
        <v>2</v>
      </c>
      <c r="Q18" s="75">
        <f>SUM('2015'!I3,'2014'!I3)</f>
        <v>2</v>
      </c>
      <c r="R18" s="75">
        <f>SUM(S18:T18)</f>
        <v>2</v>
      </c>
      <c r="S18" s="75">
        <f>SUM('2015'!J3,'2014'!J3)</f>
        <v>0</v>
      </c>
      <c r="T18" s="75">
        <f>SUM('2015'!K3,'2014'!K3)</f>
        <v>2</v>
      </c>
      <c r="U18" s="75">
        <f>SUM('2015'!L3,'2014'!L3)</f>
        <v>3612.14</v>
      </c>
      <c r="V18" s="75">
        <f>SUM('2015'!M3,'2014'!M3)</f>
        <v>3111.74</v>
      </c>
      <c r="W18" s="75">
        <f>SUM('2015'!N3,'2014'!N3)</f>
        <v>500.4</v>
      </c>
      <c r="X18" s="75">
        <f>U18/E18</f>
        <v>120.40466666666666</v>
      </c>
      <c r="Y18" s="75">
        <f>V18/I18</f>
        <v>119.68230769230769</v>
      </c>
      <c r="Z18" s="28">
        <f>W18/O18</f>
        <v>125.1</v>
      </c>
      <c r="AA18" s="75">
        <f>MAX('2015'!L3,'2014'!L3)</f>
        <v>1861</v>
      </c>
      <c r="AB18" s="75">
        <f>MIN('2015'!L3,'2014'!L3)</f>
        <v>1751.1399999999999</v>
      </c>
      <c r="AC18" s="75">
        <f>MAX('2015'!M3,'2014'!M3)</f>
        <v>1613.72</v>
      </c>
      <c r="AD18" s="75">
        <f>MIN('2015'!M3,'2014'!M3)</f>
        <v>1498.02</v>
      </c>
      <c r="AE18" s="75">
        <f>MAX('2015'!O3,'2014'!O3)</f>
        <v>168.3</v>
      </c>
      <c r="AF18" s="75">
        <f>MIN('2015'!P3,'2014'!P3)</f>
        <v>81.739999999999995</v>
      </c>
      <c r="AG18" s="75">
        <f>MAX('2015'!Q3,'2014'!Q3)</f>
        <v>151.44</v>
      </c>
      <c r="AH18" s="75">
        <f>MIN('2015'!R3,'2014'!R3)</f>
        <v>101</v>
      </c>
      <c r="AI18" s="72"/>
      <c r="AJ18" s="77"/>
      <c r="AK18" s="75" t="str">
        <f>B18</f>
        <v>Show Me Your TDs</v>
      </c>
      <c r="AL18" s="75" t="str">
        <f>C18</f>
        <v>E. Rosenberg</v>
      </c>
      <c r="AM18" s="72"/>
    </row>
    <row r="19" spans="1:39" x14ac:dyDescent="0.2">
      <c r="A19" s="28">
        <v>16</v>
      </c>
      <c r="B19" s="29" t="s">
        <v>33</v>
      </c>
      <c r="C19" s="29" t="s">
        <v>9</v>
      </c>
      <c r="D19" s="26">
        <f>IF(E19=0,0,F19/E19)</f>
        <v>0.53125</v>
      </c>
      <c r="E19" s="27">
        <f>SUM(F19:G19)</f>
        <v>32</v>
      </c>
      <c r="F19" s="28">
        <f>SUM('2003'!D9,'2002'!D2)</f>
        <v>17</v>
      </c>
      <c r="G19" s="28">
        <f>SUM('2003'!E9,'2002'!E2)</f>
        <v>15</v>
      </c>
      <c r="H19" s="26">
        <f>IF(I19=0,0,J19/I19)</f>
        <v>0.5</v>
      </c>
      <c r="I19" s="28">
        <f>SUM(J19:K19)</f>
        <v>26</v>
      </c>
      <c r="J19" s="28">
        <f>SUM('2003'!F9,'2002'!F2)</f>
        <v>13</v>
      </c>
      <c r="K19" s="28">
        <f>SUM('2003'!G9,'2002'!G2)</f>
        <v>13</v>
      </c>
      <c r="L19" s="28">
        <f>MAX('2003'!F9,'2002'!F2)</f>
        <v>7</v>
      </c>
      <c r="M19" s="28">
        <f>MIN('2003'!G9,'2002'!G2)</f>
        <v>6</v>
      </c>
      <c r="N19" s="26">
        <f t="shared" si="29"/>
        <v>0.66666666666666663</v>
      </c>
      <c r="O19" s="28">
        <f>SUM(P19,Q19)</f>
        <v>6</v>
      </c>
      <c r="P19" s="28">
        <f>SUM('2003'!H9,'2002'!H2)</f>
        <v>4</v>
      </c>
      <c r="Q19" s="28">
        <f>SUM('2003'!I9,'2002'!I2)</f>
        <v>2</v>
      </c>
      <c r="R19" s="28">
        <f>SUM(S19:T19)</f>
        <v>2</v>
      </c>
      <c r="S19" s="28">
        <f>SUM('2003'!J9,'2002'!J2)</f>
        <v>1</v>
      </c>
      <c r="T19" s="28">
        <f>SUM('2003'!K9,'2002'!K2)</f>
        <v>1</v>
      </c>
      <c r="U19" s="28">
        <f>SUM('2003'!L9,'2002'!L2)</f>
        <v>2683.76</v>
      </c>
      <c r="V19" s="28">
        <f>SUM('2003'!M9,'2002'!M2)</f>
        <v>2276.7600000000002</v>
      </c>
      <c r="W19" s="28">
        <f>SUM('2003'!N9,'2002'!N2)</f>
        <v>407</v>
      </c>
      <c r="X19" s="28">
        <f t="shared" si="32"/>
        <v>83.867500000000007</v>
      </c>
      <c r="Y19" s="28">
        <f>V19/I19</f>
        <v>87.567692307692312</v>
      </c>
      <c r="Z19" s="28">
        <f>W19/O19</f>
        <v>67.833333333333329</v>
      </c>
      <c r="AA19" s="28">
        <f>MAX('2003'!L9,'2002'!L2)</f>
        <v>1397.2600000000002</v>
      </c>
      <c r="AB19" s="28">
        <f>MIN('2003'!L9,'2002'!L2)</f>
        <v>1286.5</v>
      </c>
      <c r="AC19" s="28">
        <f>MAX('2003'!M9,'2002'!M2)</f>
        <v>1152.2600000000002</v>
      </c>
      <c r="AD19" s="28">
        <f>MIN('2003'!M9,'2002'!M2)</f>
        <v>1124.5</v>
      </c>
      <c r="AE19" s="28">
        <f>MAX('2003'!O9,'2002'!O2)</f>
        <v>122.5</v>
      </c>
      <c r="AF19" s="28">
        <f>MIN('2003'!P9,'2002'!P2)</f>
        <v>50</v>
      </c>
      <c r="AG19" s="28">
        <f>MAX('2003'!Q9,'2002'!Q2)</f>
        <v>96</v>
      </c>
      <c r="AH19" s="28">
        <f>MIN('2003'!R9,'2002'!R2)</f>
        <v>72</v>
      </c>
      <c r="AI19" s="29"/>
      <c r="AK19" s="28" t="str">
        <f>B19</f>
        <v>Untouchables</v>
      </c>
      <c r="AL19" s="28" t="str">
        <f>C19</f>
        <v>J. Ross</v>
      </c>
      <c r="AM19" s="29"/>
    </row>
    <row r="20" spans="1:39" x14ac:dyDescent="0.2">
      <c r="A20" s="56">
        <v>17</v>
      </c>
      <c r="B20" s="57" t="s">
        <v>64</v>
      </c>
      <c r="C20" s="57" t="s">
        <v>62</v>
      </c>
      <c r="D20" s="58">
        <f t="shared" si="25"/>
        <v>0.41935483870967744</v>
      </c>
      <c r="E20" s="59">
        <f t="shared" si="26"/>
        <v>31</v>
      </c>
      <c r="F20" s="56">
        <f>SUM('2006'!D5,'2005'!D10)</f>
        <v>13</v>
      </c>
      <c r="G20" s="56">
        <f>SUM('2006'!E5,'2005'!E10)</f>
        <v>18</v>
      </c>
      <c r="H20" s="58">
        <f t="shared" si="27"/>
        <v>0.42857142857142855</v>
      </c>
      <c r="I20" s="56">
        <f t="shared" si="28"/>
        <v>28</v>
      </c>
      <c r="J20" s="56">
        <f>SUM('2006'!F5,'2005'!F10)</f>
        <v>12</v>
      </c>
      <c r="K20" s="56">
        <f>SUM('2006'!G5,'2005'!G10)</f>
        <v>16</v>
      </c>
      <c r="L20" s="56">
        <f>MAX('2006'!F5,'2005'!F10)</f>
        <v>7</v>
      </c>
      <c r="M20" s="56">
        <f>MIN('2006'!G5,'2005'!G10)</f>
        <v>7</v>
      </c>
      <c r="N20" s="58">
        <f t="shared" si="29"/>
        <v>0.33333333333333331</v>
      </c>
      <c r="O20" s="56">
        <f t="shared" si="30"/>
        <v>3</v>
      </c>
      <c r="P20" s="56">
        <f>SUM('2006'!H5,'2005'!H10)</f>
        <v>1</v>
      </c>
      <c r="Q20" s="56">
        <f>SUM('2006'!I5,'2005'!I10)</f>
        <v>2</v>
      </c>
      <c r="R20" s="56">
        <f t="shared" si="31"/>
        <v>2</v>
      </c>
      <c r="S20" s="56">
        <f>SUM('2006'!J5,'2005'!J10)</f>
        <v>0</v>
      </c>
      <c r="T20" s="56">
        <f>SUM('2006'!K5,'2005'!K10)</f>
        <v>2</v>
      </c>
      <c r="U20" s="56">
        <f>SUM('2006'!L5,'2005'!L10)</f>
        <v>2351.0100000000002</v>
      </c>
      <c r="V20" s="56">
        <f>SUM('2006'!M5,'2005'!M10)</f>
        <v>2057.4499999999998</v>
      </c>
      <c r="W20" s="56">
        <f>SUM('2006'!N5,'2005'!N10)</f>
        <v>293.56</v>
      </c>
      <c r="X20" s="56">
        <f t="shared" si="32"/>
        <v>75.83903225806452</v>
      </c>
      <c r="Y20" s="56">
        <f t="shared" ref="Y20:Y33" si="38">V20/I20</f>
        <v>73.48035714285713</v>
      </c>
      <c r="Z20" s="28">
        <f>W20/O20</f>
        <v>97.853333333333339</v>
      </c>
      <c r="AA20" s="56">
        <f>MAX('2006'!L5,'2005'!L10)</f>
        <v>1498.41</v>
      </c>
      <c r="AB20" s="56">
        <f>MIN('2006'!L5,'2005'!L10)</f>
        <v>852.59999999999991</v>
      </c>
      <c r="AC20" s="56">
        <f>MAX('2006'!M5,'2005'!M10)</f>
        <v>1204.8500000000001</v>
      </c>
      <c r="AD20" s="56">
        <f>MIN('2006'!M5,'2005'!M10)</f>
        <v>852.59999999999991</v>
      </c>
      <c r="AE20" s="56">
        <f>MAX('2006'!O5,'2005'!O10)</f>
        <v>135.91</v>
      </c>
      <c r="AF20" s="56">
        <f>MIN('2006'!P5,'2005'!P10)</f>
        <v>43.35</v>
      </c>
      <c r="AG20" s="56">
        <f>MAX('2006'!Q5,'2005'!Q10)</f>
        <v>102.5</v>
      </c>
      <c r="AH20" s="56">
        <f>MIN('2006'!R5,'2005'!R10)</f>
        <v>92.14</v>
      </c>
      <c r="AK20" s="56" t="str">
        <f t="shared" ref="AK20:AL20" si="39">B20</f>
        <v>Chuck Norris</v>
      </c>
      <c r="AL20" s="56" t="str">
        <f t="shared" si="39"/>
        <v>J. Lesko</v>
      </c>
    </row>
    <row r="21" spans="1:39" ht="12.75" customHeight="1" thickBot="1" x14ac:dyDescent="0.25">
      <c r="A21" s="78">
        <v>18</v>
      </c>
      <c r="B21" s="79" t="s">
        <v>67</v>
      </c>
      <c r="C21" s="79" t="s">
        <v>42</v>
      </c>
      <c r="D21" s="80">
        <f t="shared" si="25"/>
        <v>0.3</v>
      </c>
      <c r="E21" s="81">
        <f t="shared" si="26"/>
        <v>30</v>
      </c>
      <c r="F21" s="78">
        <f>SUM('2006'!D9,'2003'!D12)</f>
        <v>9</v>
      </c>
      <c r="G21" s="78">
        <f>SUM('2006'!E9,'2003'!E12)</f>
        <v>21</v>
      </c>
      <c r="H21" s="80">
        <f t="shared" si="27"/>
        <v>0.33333333333333331</v>
      </c>
      <c r="I21" s="78">
        <f t="shared" si="28"/>
        <v>27</v>
      </c>
      <c r="J21" s="78">
        <f>SUM('2006'!F9,'2003'!F12)</f>
        <v>9</v>
      </c>
      <c r="K21" s="78">
        <f>SUM('2006'!G9,'2003'!G12)</f>
        <v>18</v>
      </c>
      <c r="L21" s="78">
        <f>MAX('2006'!F9,'2003'!F12)</f>
        <v>6</v>
      </c>
      <c r="M21" s="78">
        <f>MIN('2006'!G9,'2003'!G12)</f>
        <v>8</v>
      </c>
      <c r="N21" s="80">
        <f t="shared" si="29"/>
        <v>0</v>
      </c>
      <c r="O21" s="78">
        <f t="shared" si="30"/>
        <v>3</v>
      </c>
      <c r="P21" s="78">
        <f>SUM('2006'!H9,'2003'!H12)</f>
        <v>0</v>
      </c>
      <c r="Q21" s="78">
        <f>SUM('2006'!I9,'2003'!I12)</f>
        <v>3</v>
      </c>
      <c r="R21" s="78">
        <f t="shared" si="31"/>
        <v>2</v>
      </c>
      <c r="S21" s="78">
        <f>SUM('2006'!J9,'2003'!J12)</f>
        <v>0</v>
      </c>
      <c r="T21" s="78">
        <f>SUM('2006'!K9,'2003'!K12)</f>
        <v>2</v>
      </c>
      <c r="U21" s="78">
        <f>SUM('2006'!L9,'2003'!L12)</f>
        <v>2346.0500000000002</v>
      </c>
      <c r="V21" s="78">
        <f>SUM('2006'!M9,'2003'!M12)</f>
        <v>2113.4800000000005</v>
      </c>
      <c r="W21" s="78">
        <f>SUM('2006'!N9,'2003'!N12)</f>
        <v>232.57</v>
      </c>
      <c r="X21" s="78">
        <f t="shared" si="32"/>
        <v>78.201666666666668</v>
      </c>
      <c r="Y21" s="78">
        <f>V21/I21</f>
        <v>78.277037037037061</v>
      </c>
      <c r="Z21" s="78">
        <f t="shared" ref="Z21" si="40">W21/O21</f>
        <v>77.523333333333326</v>
      </c>
      <c r="AA21" s="78">
        <f>MAX('2006'!L9,'2003'!L12)</f>
        <v>1409.1800000000003</v>
      </c>
      <c r="AB21" s="78">
        <f>MIN('2006'!L9,'2003'!L12)</f>
        <v>936.87</v>
      </c>
      <c r="AC21" s="78">
        <f>MAX('2006'!M9,'2003'!M12)</f>
        <v>1176.6100000000004</v>
      </c>
      <c r="AD21" s="78">
        <f>MIN('2006'!M9,'2003'!M12)</f>
        <v>936.87</v>
      </c>
      <c r="AE21" s="78">
        <f>MAX('2006'!O9,'2003'!O12)</f>
        <v>141.13</v>
      </c>
      <c r="AF21" s="78">
        <f>MIN('2006'!P9,'2003'!P12)</f>
        <v>36.47</v>
      </c>
      <c r="AG21" s="78">
        <f>MAX('2006'!Q9,'2003'!Q12)</f>
        <v>88.22</v>
      </c>
      <c r="AH21" s="78">
        <f>MIN('2006'!R9,'2003'!R12)</f>
        <v>57.17</v>
      </c>
      <c r="AI21" s="79"/>
      <c r="AJ21" s="82"/>
      <c r="AK21" s="78" t="str">
        <f t="shared" ref="AK21:AK33" si="41">B21</f>
        <v>Worsley Suck Balls</v>
      </c>
      <c r="AL21" s="78" t="str">
        <f t="shared" ref="AL21:AL33" si="42">C21</f>
        <v>J. Bellomo</v>
      </c>
      <c r="AM21" s="79"/>
    </row>
    <row r="22" spans="1:39" x14ac:dyDescent="0.2">
      <c r="A22" s="56">
        <v>19</v>
      </c>
      <c r="B22" s="84" t="s">
        <v>153</v>
      </c>
      <c r="C22" s="84" t="s">
        <v>154</v>
      </c>
      <c r="D22" s="58">
        <f t="shared" ref="D22" si="43">IF(E22=0,0,F22/E22)</f>
        <v>0.73333333333333328</v>
      </c>
      <c r="E22" s="59">
        <f t="shared" ref="E22" si="44">SUM(F22:G22)</f>
        <v>15</v>
      </c>
      <c r="F22" s="56">
        <f>SUM('2015'!D2)</f>
        <v>11</v>
      </c>
      <c r="G22" s="56">
        <f>SUM('2015'!E2)</f>
        <v>4</v>
      </c>
      <c r="H22" s="58">
        <f t="shared" ref="H22" si="45">IF(I22=0,0,J22/I22)</f>
        <v>0.69230769230769229</v>
      </c>
      <c r="I22" s="56">
        <f t="shared" ref="I22" si="46">SUM(J22:K22)</f>
        <v>13</v>
      </c>
      <c r="J22" s="56">
        <f>SUM('2015'!F2)</f>
        <v>9</v>
      </c>
      <c r="K22" s="56">
        <f>SUM('2015'!G2)</f>
        <v>4</v>
      </c>
      <c r="L22" s="56">
        <f>MAX('2015'!F2)</f>
        <v>9</v>
      </c>
      <c r="M22" s="56">
        <f>MIN('2015'!G2)</f>
        <v>4</v>
      </c>
      <c r="N22" s="58">
        <f t="shared" ref="N22" si="47">IF(O22=0,0,P22/O22)</f>
        <v>1</v>
      </c>
      <c r="O22" s="56">
        <f t="shared" ref="O22" si="48">SUM(P22,Q22)</f>
        <v>2</v>
      </c>
      <c r="P22" s="56">
        <f>SUM('2015'!H2)</f>
        <v>2</v>
      </c>
      <c r="Q22" s="56">
        <f>SUM('2015'!I2)</f>
        <v>0</v>
      </c>
      <c r="R22" s="56">
        <f t="shared" ref="R22" si="49">SUM(S22:T22)</f>
        <v>1</v>
      </c>
      <c r="S22" s="56">
        <f>SUM('2015'!J2)</f>
        <v>1</v>
      </c>
      <c r="T22" s="56">
        <f>SUM('2015'!K2)</f>
        <v>0</v>
      </c>
      <c r="U22" s="56">
        <f>SUM('2015'!L2)</f>
        <v>1479.02</v>
      </c>
      <c r="V22" s="56">
        <f>SUM('2015'!M2)</f>
        <v>1263.68</v>
      </c>
      <c r="W22" s="56">
        <f>SUM('2015'!N2)</f>
        <v>215.34</v>
      </c>
      <c r="X22" s="56">
        <f t="shared" ref="X22" si="50">U22/E22</f>
        <v>98.601333333333329</v>
      </c>
      <c r="Y22" s="56">
        <f t="shared" ref="Y22" si="51">V22/I22</f>
        <v>97.206153846153853</v>
      </c>
      <c r="Z22" s="28">
        <f t="shared" ref="Z22" si="52">W22/O22</f>
        <v>107.67</v>
      </c>
      <c r="AA22" s="56">
        <f>MAX('2015'!L2)</f>
        <v>1479.02</v>
      </c>
      <c r="AB22" s="56">
        <f>MIN('2015'!L2)</f>
        <v>1479.02</v>
      </c>
      <c r="AC22" s="56">
        <f>MAX('2015'!M2)</f>
        <v>1263.68</v>
      </c>
      <c r="AD22" s="56">
        <f>MIN('2015'!M2)</f>
        <v>1263.68</v>
      </c>
      <c r="AE22" s="56">
        <f>MAX('2015'!O2)</f>
        <v>123.1</v>
      </c>
      <c r="AF22" s="56">
        <f>MIN('2015'!P2)</f>
        <v>65</v>
      </c>
      <c r="AG22" s="56">
        <f>MAX('2015'!Q2)</f>
        <v>121.3</v>
      </c>
      <c r="AH22" s="56">
        <f>MIN('2015'!R2)</f>
        <v>94.04</v>
      </c>
      <c r="AK22" s="56" t="str">
        <f>B22</f>
        <v>Primetime</v>
      </c>
      <c r="AL22" s="56" t="str">
        <f>C22</f>
        <v>D. Humphrey</v>
      </c>
    </row>
    <row r="23" spans="1:39" x14ac:dyDescent="0.2">
      <c r="A23" s="56">
        <v>20</v>
      </c>
      <c r="B23" s="57" t="s">
        <v>28</v>
      </c>
      <c r="C23" s="57" t="s">
        <v>37</v>
      </c>
      <c r="D23" s="58">
        <f>IF(E23=0,0,F23/E23)</f>
        <v>0.66666666666666663</v>
      </c>
      <c r="E23" s="59">
        <f>SUM(F23:G23)</f>
        <v>15</v>
      </c>
      <c r="F23" s="56">
        <f>SUM('2003'!D2)</f>
        <v>10</v>
      </c>
      <c r="G23" s="56">
        <f>SUM('2003'!E2)</f>
        <v>5</v>
      </c>
      <c r="H23" s="58">
        <f>IF(I23=0,0,J23/I23)</f>
        <v>0.58333333333333337</v>
      </c>
      <c r="I23" s="56">
        <f>SUM(J23:K23)</f>
        <v>12</v>
      </c>
      <c r="J23" s="56">
        <f>SUM('2003'!F2)</f>
        <v>7</v>
      </c>
      <c r="K23" s="56">
        <f>SUM('2003'!G2)</f>
        <v>5</v>
      </c>
      <c r="L23" s="56">
        <f>MAX('2003'!F2)</f>
        <v>7</v>
      </c>
      <c r="M23" s="56">
        <f>MIN('2003'!G2)</f>
        <v>5</v>
      </c>
      <c r="N23" s="58">
        <f t="shared" ref="N23:N28" si="53">IF(O23=0,0,P23/O23)</f>
        <v>1</v>
      </c>
      <c r="O23" s="56">
        <f>SUM(P23,Q23)</f>
        <v>3</v>
      </c>
      <c r="P23" s="56">
        <f>SUM('2003'!H2)</f>
        <v>3</v>
      </c>
      <c r="Q23" s="56">
        <f>SUM('2003'!I2)</f>
        <v>0</v>
      </c>
      <c r="R23" s="56">
        <f>SUM(S23:T23)</f>
        <v>1</v>
      </c>
      <c r="S23" s="56">
        <f>SUM('2003'!J2)</f>
        <v>1</v>
      </c>
      <c r="T23" s="56">
        <f>SUM('2003'!K2)</f>
        <v>0</v>
      </c>
      <c r="U23" s="56">
        <f>SUM('2003'!L2)</f>
        <v>1534.9</v>
      </c>
      <c r="V23" s="56">
        <f>SUM('2003'!M2)</f>
        <v>1227.9000000000001</v>
      </c>
      <c r="W23" s="56">
        <f>SUM('2003'!N2)</f>
        <v>307</v>
      </c>
      <c r="X23" s="56">
        <f>U23/E23</f>
        <v>102.32666666666667</v>
      </c>
      <c r="Y23" s="56">
        <f>V23/I23</f>
        <v>102.325</v>
      </c>
      <c r="Z23" s="28">
        <f t="shared" ref="Z23:Z28" si="54">W23/O23</f>
        <v>102.33333333333333</v>
      </c>
      <c r="AA23" s="56">
        <f>MAX('2003'!L2)</f>
        <v>1534.9</v>
      </c>
      <c r="AB23" s="56">
        <f>MIN('2003'!L2)</f>
        <v>1534.9</v>
      </c>
      <c r="AC23" s="56">
        <f>MAX('2003'!M2)</f>
        <v>1227.9000000000001</v>
      </c>
      <c r="AD23" s="56">
        <f>MIN('2003'!M2)</f>
        <v>1227.9000000000001</v>
      </c>
      <c r="AE23" s="56">
        <f>MAX('2003'!O2)</f>
        <v>141.62</v>
      </c>
      <c r="AF23" s="56">
        <f>MIN('2003'!P2)</f>
        <v>51.65</v>
      </c>
      <c r="AG23" s="56">
        <f>MAX('2003'!Q2)</f>
        <v>116</v>
      </c>
      <c r="AH23" s="56">
        <f>MIN('2003'!R2)</f>
        <v>95</v>
      </c>
      <c r="AI23" s="56"/>
      <c r="AK23" s="56" t="str">
        <f t="shared" ref="AK23:AL23" si="55">B23</f>
        <v>Baycity Pimps</v>
      </c>
      <c r="AL23" s="56" t="str">
        <f t="shared" si="55"/>
        <v>Z. Hosie</v>
      </c>
    </row>
    <row r="24" spans="1:39" x14ac:dyDescent="0.2">
      <c r="A24" s="56">
        <v>21</v>
      </c>
      <c r="B24" s="57" t="s">
        <v>53</v>
      </c>
      <c r="C24" s="57" t="s">
        <v>59</v>
      </c>
      <c r="D24" s="58">
        <f>IF(E24=0,0,F24/E24)</f>
        <v>0.52941176470588236</v>
      </c>
      <c r="E24" s="59">
        <f>SUM(F24:G24)</f>
        <v>17</v>
      </c>
      <c r="F24" s="56">
        <f>SUM('2005'!D8)</f>
        <v>9</v>
      </c>
      <c r="G24" s="56">
        <f>SUM('2005'!E8)</f>
        <v>8</v>
      </c>
      <c r="H24" s="58">
        <f>IF(I24=0,0,J24/I24)</f>
        <v>0.5714285714285714</v>
      </c>
      <c r="I24" s="56">
        <f>SUM(J24:K24)</f>
        <v>14</v>
      </c>
      <c r="J24" s="56">
        <f>SUM('2005'!F8)</f>
        <v>8</v>
      </c>
      <c r="K24" s="56">
        <f>SUM('2005'!G8)</f>
        <v>6</v>
      </c>
      <c r="L24" s="56">
        <f>MAX('2005'!F8)</f>
        <v>8</v>
      </c>
      <c r="M24" s="56">
        <f>MIN('2005'!G8)</f>
        <v>6</v>
      </c>
      <c r="N24" s="58">
        <f t="shared" si="53"/>
        <v>0.33333333333333331</v>
      </c>
      <c r="O24" s="56">
        <f>SUM(P24,Q24)</f>
        <v>3</v>
      </c>
      <c r="P24" s="56">
        <f>SUM('2005'!H8)</f>
        <v>1</v>
      </c>
      <c r="Q24" s="56">
        <f>SUM('2005'!I8)</f>
        <v>2</v>
      </c>
      <c r="R24" s="56">
        <f>SUM(S24:T24)</f>
        <v>1</v>
      </c>
      <c r="S24" s="56">
        <f>SUM('2005'!J8)</f>
        <v>0</v>
      </c>
      <c r="T24" s="56">
        <f>SUM('2005'!K8)</f>
        <v>1</v>
      </c>
      <c r="U24" s="56">
        <f>SUM('2005'!L8)</f>
        <v>1353.7099999999998</v>
      </c>
      <c r="V24" s="56">
        <f>SUM('2005'!M8)</f>
        <v>1147.8199999999997</v>
      </c>
      <c r="W24" s="56">
        <f>SUM('2005'!N8)</f>
        <v>205.89000000000001</v>
      </c>
      <c r="X24" s="56">
        <f>U24/E24</f>
        <v>79.63</v>
      </c>
      <c r="Y24" s="56">
        <f>V24/I24</f>
        <v>81.987142857142842</v>
      </c>
      <c r="Z24" s="28">
        <f t="shared" si="54"/>
        <v>68.63000000000001</v>
      </c>
      <c r="AA24" s="56">
        <f>MAX('2005'!L8)</f>
        <v>1353.7099999999998</v>
      </c>
      <c r="AB24" s="56">
        <f>MIN('2005'!L8)</f>
        <v>1353.7099999999998</v>
      </c>
      <c r="AC24" s="56">
        <f>MAX('2005'!M8)</f>
        <v>1147.8199999999997</v>
      </c>
      <c r="AD24" s="56">
        <f>MIN('2005'!M8)</f>
        <v>1147.8199999999997</v>
      </c>
      <c r="AE24" s="56">
        <f>MAX('2005'!O8)</f>
        <v>121.27</v>
      </c>
      <c r="AF24" s="56">
        <f>MIN('2005'!P8)</f>
        <v>61.43</v>
      </c>
      <c r="AG24" s="56">
        <f>MAX('2005'!Q8)</f>
        <v>80.040000000000006</v>
      </c>
      <c r="AH24" s="56">
        <f>MIN('2005'!R8)</f>
        <v>48.45</v>
      </c>
      <c r="AK24" s="56" t="str">
        <f>B24</f>
        <v>Da Romanators</v>
      </c>
      <c r="AL24" s="56" t="str">
        <f>C24</f>
        <v>R. Northcut</v>
      </c>
    </row>
    <row r="25" spans="1:39" x14ac:dyDescent="0.2">
      <c r="A25" s="56">
        <v>22</v>
      </c>
      <c r="B25" s="84" t="s">
        <v>151</v>
      </c>
      <c r="C25" s="84" t="s">
        <v>152</v>
      </c>
      <c r="D25" s="58">
        <f t="shared" ref="D25" si="56">IF(E25=0,0,F25/E25)</f>
        <v>0.5</v>
      </c>
      <c r="E25" s="59">
        <f t="shared" ref="E25" si="57">SUM(F25:G25)</f>
        <v>16</v>
      </c>
      <c r="F25" s="56">
        <f>SUM('2015'!D5)</f>
        <v>8</v>
      </c>
      <c r="G25" s="56">
        <f>SUM('2015'!E5)</f>
        <v>8</v>
      </c>
      <c r="H25" s="58">
        <f t="shared" ref="H25" si="58">IF(I25=0,0,J25/I25)</f>
        <v>0.53846153846153844</v>
      </c>
      <c r="I25" s="56">
        <f t="shared" ref="I25" si="59">SUM(J25:K25)</f>
        <v>13</v>
      </c>
      <c r="J25" s="56">
        <f>SUM('2015'!F5)</f>
        <v>7</v>
      </c>
      <c r="K25" s="56">
        <f>SUM('2015'!G5)</f>
        <v>6</v>
      </c>
      <c r="L25" s="56">
        <f>MAX('2015'!F5)</f>
        <v>7</v>
      </c>
      <c r="M25" s="56">
        <f>MIN('2015'!G5)</f>
        <v>6</v>
      </c>
      <c r="N25" s="58">
        <f t="shared" si="53"/>
        <v>0.33333333333333331</v>
      </c>
      <c r="O25" s="56">
        <f t="shared" ref="O25" si="60">SUM(P25,Q25)</f>
        <v>3</v>
      </c>
      <c r="P25" s="56">
        <f>SUM('2015'!H5)</f>
        <v>1</v>
      </c>
      <c r="Q25" s="56">
        <f>SUM('2015'!I5)</f>
        <v>2</v>
      </c>
      <c r="R25" s="56">
        <f t="shared" ref="R25" si="61">SUM(S25:T25)</f>
        <v>1</v>
      </c>
      <c r="S25" s="56">
        <f>SUM('2015'!J5)</f>
        <v>0</v>
      </c>
      <c r="T25" s="56">
        <f>SUM('2015'!K5)</f>
        <v>1</v>
      </c>
      <c r="U25" s="56">
        <f>SUM('2015'!L5)</f>
        <v>1573.18</v>
      </c>
      <c r="V25" s="56">
        <f>SUM('2015'!M5)</f>
        <v>1293.76</v>
      </c>
      <c r="W25" s="56">
        <f>SUM('2015'!N5)</f>
        <v>279.42</v>
      </c>
      <c r="X25" s="56">
        <f t="shared" ref="X25" si="62">U25/E25</f>
        <v>98.323750000000004</v>
      </c>
      <c r="Y25" s="56">
        <f t="shared" ref="Y25" si="63">V25/I25</f>
        <v>99.52</v>
      </c>
      <c r="Z25" s="28">
        <f t="shared" si="54"/>
        <v>93.14</v>
      </c>
      <c r="AA25" s="56">
        <f>MAX('2015'!L5)</f>
        <v>1573.18</v>
      </c>
      <c r="AB25" s="56">
        <f>MIN('2015'!L5)</f>
        <v>1573.18</v>
      </c>
      <c r="AC25" s="56">
        <f>MAX('2015'!M5)</f>
        <v>1293.76</v>
      </c>
      <c r="AD25" s="56">
        <f>MIN('2015'!M5)</f>
        <v>1293.76</v>
      </c>
      <c r="AE25" s="56">
        <f>MAX('2015'!O5)</f>
        <v>137.47999999999999</v>
      </c>
      <c r="AF25" s="56">
        <f>MIN('2015'!P5)</f>
        <v>61.04</v>
      </c>
      <c r="AG25" s="56">
        <f>MAX('2015'!Q5)</f>
        <v>128.94</v>
      </c>
      <c r="AH25" s="56">
        <f>MIN('2015'!R5)</f>
        <v>63.26</v>
      </c>
      <c r="AK25" s="56" t="str">
        <f t="shared" ref="AK25:AL28" si="64">B25</f>
        <v>L33t $killz</v>
      </c>
      <c r="AL25" s="56" t="str">
        <f t="shared" si="64"/>
        <v>C. Osborne</v>
      </c>
    </row>
    <row r="26" spans="1:39" x14ac:dyDescent="0.2">
      <c r="A26" s="56">
        <v>23</v>
      </c>
      <c r="B26" s="57" t="s">
        <v>29</v>
      </c>
      <c r="C26" s="57" t="s">
        <v>41</v>
      </c>
      <c r="D26" s="58">
        <f t="shared" ref="D26:D30" si="65">IF(E26=0,0,F26/E26)</f>
        <v>0.5</v>
      </c>
      <c r="E26" s="59">
        <f t="shared" ref="E26:E30" si="66">SUM(F26:G26)</f>
        <v>16</v>
      </c>
      <c r="F26" s="56">
        <f>SUM('2003'!D3)</f>
        <v>8</v>
      </c>
      <c r="G26" s="56">
        <f>SUM('2003'!E3)</f>
        <v>8</v>
      </c>
      <c r="H26" s="58">
        <f t="shared" ref="H26:H30" si="67">IF(I26=0,0,J26/I26)</f>
        <v>0.46153846153846156</v>
      </c>
      <c r="I26" s="56">
        <f t="shared" ref="I26:I30" si="68">SUM(J26:K26)</f>
        <v>13</v>
      </c>
      <c r="J26" s="56">
        <f>SUM('2003'!F3)</f>
        <v>6</v>
      </c>
      <c r="K26" s="56">
        <f>SUM('2003'!G3)</f>
        <v>7</v>
      </c>
      <c r="L26" s="56">
        <f>MAX('2003'!F3)</f>
        <v>6</v>
      </c>
      <c r="M26" s="56">
        <f>MIN('2003'!G3)</f>
        <v>7</v>
      </c>
      <c r="N26" s="58">
        <f t="shared" si="53"/>
        <v>0.66666666666666663</v>
      </c>
      <c r="O26" s="56">
        <f t="shared" ref="O26:O30" si="69">SUM(P26,Q26)</f>
        <v>3</v>
      </c>
      <c r="P26" s="56">
        <f>SUM('2003'!H3)</f>
        <v>2</v>
      </c>
      <c r="Q26" s="56">
        <f>SUM('2003'!I3)</f>
        <v>1</v>
      </c>
      <c r="R26" s="56">
        <f t="shared" ref="R26:R30" si="70">SUM(S26:T26)</f>
        <v>1</v>
      </c>
      <c r="S26" s="56">
        <f>SUM('2003'!J3)</f>
        <v>0</v>
      </c>
      <c r="T26" s="56">
        <f>SUM('2003'!K3)</f>
        <v>1</v>
      </c>
      <c r="U26" s="56">
        <f>SUM('2003'!L3)</f>
        <v>1370.37</v>
      </c>
      <c r="V26" s="56">
        <f>SUM('2003'!M3)</f>
        <v>1114.3699999999999</v>
      </c>
      <c r="W26" s="56">
        <f>SUM('2003'!N3)</f>
        <v>256</v>
      </c>
      <c r="X26" s="56">
        <f>U26/E26</f>
        <v>85.648124999999993</v>
      </c>
      <c r="Y26" s="56">
        <f t="shared" ref="Y26:Y30" si="71">V26/I26</f>
        <v>85.720769230769221</v>
      </c>
      <c r="Z26" s="28">
        <f t="shared" si="54"/>
        <v>85.333333333333329</v>
      </c>
      <c r="AA26" s="56">
        <f>MAX('2003'!L3)</f>
        <v>1370.37</v>
      </c>
      <c r="AB26" s="56">
        <f>MIN('2003'!L3)</f>
        <v>1370.37</v>
      </c>
      <c r="AC26" s="56">
        <f>MAX('2003'!M3)</f>
        <v>1114.3699999999999</v>
      </c>
      <c r="AD26" s="56">
        <f>MIN('2003'!M3)</f>
        <v>1114.3699999999999</v>
      </c>
      <c r="AE26" s="56">
        <f>MAX('2003'!O3)</f>
        <v>106.45</v>
      </c>
      <c r="AF26" s="56">
        <f>MIN('2003'!P3)</f>
        <v>36.479999999999997</v>
      </c>
      <c r="AG26" s="56">
        <f>MAX('2003'!Q3)</f>
        <v>109</v>
      </c>
      <c r="AH26" s="56">
        <f>MIN('2003'!R3)</f>
        <v>43</v>
      </c>
      <c r="AK26" s="56" t="str">
        <f t="shared" si="64"/>
        <v>Jacksonville Bulls</v>
      </c>
      <c r="AL26" s="56" t="str">
        <f t="shared" si="64"/>
        <v>D. Adam</v>
      </c>
    </row>
    <row r="27" spans="1:39" x14ac:dyDescent="0.2">
      <c r="A27" s="56">
        <v>24</v>
      </c>
      <c r="B27" s="84" t="s">
        <v>155</v>
      </c>
      <c r="C27" s="84" t="s">
        <v>156</v>
      </c>
      <c r="D27" s="58">
        <f>IF(E27=0,0,F27/E27)</f>
        <v>0.5</v>
      </c>
      <c r="E27" s="59">
        <f>SUM(F27:G27)</f>
        <v>16</v>
      </c>
      <c r="F27" s="56">
        <f>SUM('2015'!D8)</f>
        <v>8</v>
      </c>
      <c r="G27" s="56">
        <f>SUM('2015'!E8)</f>
        <v>8</v>
      </c>
      <c r="H27" s="58">
        <f>IF(I27=0,0,J27/I27)</f>
        <v>0.38461538461538464</v>
      </c>
      <c r="I27" s="56">
        <f>SUM(J27:K27)</f>
        <v>13</v>
      </c>
      <c r="J27" s="56">
        <f>SUM('2015'!F8)</f>
        <v>5</v>
      </c>
      <c r="K27" s="56">
        <f>SUM('2015'!G8)</f>
        <v>8</v>
      </c>
      <c r="L27" s="56">
        <f>MAX('2015'!F8)</f>
        <v>5</v>
      </c>
      <c r="M27" s="56">
        <f>MIN('2015'!G8)</f>
        <v>8</v>
      </c>
      <c r="N27" s="58">
        <f t="shared" si="53"/>
        <v>1</v>
      </c>
      <c r="O27" s="56">
        <f>SUM(P27,Q27)</f>
        <v>3</v>
      </c>
      <c r="P27" s="56">
        <f>SUM('2015'!H8)</f>
        <v>3</v>
      </c>
      <c r="Q27" s="56">
        <f>SUM('2015'!I8)</f>
        <v>0</v>
      </c>
      <c r="R27" s="56">
        <f>SUM(S27:T27)</f>
        <v>1</v>
      </c>
      <c r="S27" s="56">
        <f>SUM('2015'!J8)</f>
        <v>0</v>
      </c>
      <c r="T27" s="56">
        <f>SUM('2015'!K8)</f>
        <v>1</v>
      </c>
      <c r="U27" s="56">
        <f>SUM('2015'!L8)</f>
        <v>1617.8400000000001</v>
      </c>
      <c r="V27" s="56">
        <f>SUM('2015'!M8)</f>
        <v>1254.2800000000002</v>
      </c>
      <c r="W27" s="56">
        <f>SUM('2015'!N8)</f>
        <v>363.56</v>
      </c>
      <c r="X27" s="56">
        <f>U27/E27</f>
        <v>101.11500000000001</v>
      </c>
      <c r="Y27" s="56">
        <f>V27/I27</f>
        <v>96.483076923076936</v>
      </c>
      <c r="Z27" s="28">
        <f t="shared" si="54"/>
        <v>121.18666666666667</v>
      </c>
      <c r="AA27" s="56">
        <f>MAX('2015'!L8)</f>
        <v>1617.8400000000001</v>
      </c>
      <c r="AB27" s="56">
        <f>MIN('2015'!L8)</f>
        <v>1617.8400000000001</v>
      </c>
      <c r="AC27" s="56">
        <f>MAX('2015'!M8)</f>
        <v>1254.2800000000002</v>
      </c>
      <c r="AD27" s="56">
        <f>MIN('2015'!M8)</f>
        <v>1254.2800000000002</v>
      </c>
      <c r="AE27" s="56">
        <f>MAX('2015'!O8)</f>
        <v>139.46</v>
      </c>
      <c r="AF27" s="56">
        <f>MIN('2015'!P8)</f>
        <v>59.02</v>
      </c>
      <c r="AG27" s="56">
        <f>MAX('2015'!Q8)</f>
        <v>129.30000000000001</v>
      </c>
      <c r="AH27" s="56">
        <f>MIN('2015'!R8)</f>
        <v>111.5</v>
      </c>
      <c r="AK27" s="56" t="str">
        <f>B27</f>
        <v>Victorious Secret</v>
      </c>
      <c r="AL27" s="56" t="str">
        <f>C27</f>
        <v>R. Monteiro</v>
      </c>
    </row>
    <row r="28" spans="1:39" x14ac:dyDescent="0.2">
      <c r="A28" s="56">
        <v>25</v>
      </c>
      <c r="B28" s="57" t="s">
        <v>128</v>
      </c>
      <c r="C28" s="57" t="s">
        <v>129</v>
      </c>
      <c r="D28" s="58">
        <f t="shared" si="65"/>
        <v>0.47058823529411764</v>
      </c>
      <c r="E28" s="59">
        <f t="shared" si="66"/>
        <v>17</v>
      </c>
      <c r="F28" s="56">
        <f>SUM('2009'!D7)</f>
        <v>8</v>
      </c>
      <c r="G28" s="56">
        <f>SUM('2009'!E7)</f>
        <v>9</v>
      </c>
      <c r="H28" s="58">
        <f t="shared" si="67"/>
        <v>0.5</v>
      </c>
      <c r="I28" s="56">
        <f t="shared" si="68"/>
        <v>14</v>
      </c>
      <c r="J28" s="56">
        <f>SUM('2009'!F7)</f>
        <v>7</v>
      </c>
      <c r="K28" s="56">
        <f>SUM('2009'!G7)</f>
        <v>7</v>
      </c>
      <c r="L28" s="56">
        <f>MAX('2009'!F7)</f>
        <v>7</v>
      </c>
      <c r="M28" s="56">
        <f>MIN('2009'!G7)</f>
        <v>7</v>
      </c>
      <c r="N28" s="58">
        <f t="shared" si="53"/>
        <v>0.33333333333333331</v>
      </c>
      <c r="O28" s="56">
        <f t="shared" si="69"/>
        <v>3</v>
      </c>
      <c r="P28" s="56">
        <f>SUM('2009'!H7)</f>
        <v>1</v>
      </c>
      <c r="Q28" s="56">
        <f>SUM('2009'!I7)</f>
        <v>2</v>
      </c>
      <c r="R28" s="56">
        <f t="shared" si="70"/>
        <v>1</v>
      </c>
      <c r="S28" s="56">
        <f>SUM('2009'!J7)</f>
        <v>0</v>
      </c>
      <c r="T28" s="56">
        <f>SUM('2009'!K7)</f>
        <v>1</v>
      </c>
      <c r="U28" s="56">
        <f>SUM('2009'!L7)</f>
        <v>1463.1999999999998</v>
      </c>
      <c r="V28" s="56">
        <f>SUM('2009'!M7)</f>
        <v>1200.04</v>
      </c>
      <c r="W28" s="56">
        <f>SUM('2009'!N7)</f>
        <v>263.15999999999997</v>
      </c>
      <c r="X28" s="56">
        <f>U28/E28</f>
        <v>86.07058823529411</v>
      </c>
      <c r="Y28" s="56">
        <f t="shared" si="71"/>
        <v>85.717142857142861</v>
      </c>
      <c r="Z28" s="56">
        <f t="shared" si="54"/>
        <v>87.719999999999985</v>
      </c>
      <c r="AA28" s="56">
        <f>MAX('2009'!L7)</f>
        <v>1463.1999999999998</v>
      </c>
      <c r="AB28" s="56">
        <f>MIN('2009'!L7)</f>
        <v>1463.1999999999998</v>
      </c>
      <c r="AC28" s="56">
        <f>MAX('2009'!M7)</f>
        <v>1200.04</v>
      </c>
      <c r="AD28" s="56">
        <f>MIN('2009'!M7)</f>
        <v>1200.04</v>
      </c>
      <c r="AE28" s="56">
        <f>MAX('2009'!O7)</f>
        <v>128.65</v>
      </c>
      <c r="AF28" s="56">
        <f>MIN('2009'!P7)</f>
        <v>50.42</v>
      </c>
      <c r="AG28" s="56">
        <f>MAX('2009'!Q7)</f>
        <v>106.74</v>
      </c>
      <c r="AH28" s="56">
        <f>MIN('2009'!R7)</f>
        <v>69.52</v>
      </c>
      <c r="AK28" s="56" t="str">
        <f t="shared" si="64"/>
        <v>tigers</v>
      </c>
      <c r="AL28" s="56" t="str">
        <f t="shared" si="64"/>
        <v>J. Lasseigne</v>
      </c>
    </row>
    <row r="29" spans="1:39" x14ac:dyDescent="0.2">
      <c r="A29" s="56">
        <v>26</v>
      </c>
      <c r="B29" s="57" t="s">
        <v>68</v>
      </c>
      <c r="C29" s="57" t="s">
        <v>70</v>
      </c>
      <c r="D29" s="58">
        <f t="shared" si="65"/>
        <v>0.42857142857142855</v>
      </c>
      <c r="E29" s="59">
        <f t="shared" si="66"/>
        <v>14</v>
      </c>
      <c r="F29" s="56">
        <f>SUM('2006'!D10)</f>
        <v>6</v>
      </c>
      <c r="G29" s="56">
        <f>SUM('2006'!E10)</f>
        <v>8</v>
      </c>
      <c r="H29" s="58">
        <f t="shared" si="67"/>
        <v>0.42857142857142855</v>
      </c>
      <c r="I29" s="56">
        <f t="shared" si="68"/>
        <v>14</v>
      </c>
      <c r="J29" s="56">
        <f>SUM('2006'!F10)</f>
        <v>6</v>
      </c>
      <c r="K29" s="56">
        <f>SUM('2006'!G10)</f>
        <v>8</v>
      </c>
      <c r="L29" s="56">
        <f>MAX('2006'!F10)</f>
        <v>6</v>
      </c>
      <c r="M29" s="56">
        <f>MIN('2006'!G10)</f>
        <v>8</v>
      </c>
      <c r="N29" s="58">
        <f t="shared" si="29"/>
        <v>0</v>
      </c>
      <c r="O29" s="56">
        <f t="shared" si="69"/>
        <v>0</v>
      </c>
      <c r="P29" s="56">
        <f>SUM('2006'!H10)</f>
        <v>0</v>
      </c>
      <c r="Q29" s="56">
        <f>SUM('2006'!I10)</f>
        <v>0</v>
      </c>
      <c r="R29" s="56">
        <f t="shared" si="70"/>
        <v>1</v>
      </c>
      <c r="S29" s="56">
        <f>SUM('2006'!J10)</f>
        <v>0</v>
      </c>
      <c r="T29" s="56">
        <f>SUM('2006'!K10)</f>
        <v>1</v>
      </c>
      <c r="U29" s="56">
        <f>SUM('2006'!L10)</f>
        <v>1043</v>
      </c>
      <c r="V29" s="56">
        <f>SUM('2006'!M10)</f>
        <v>1043</v>
      </c>
      <c r="W29" s="56">
        <f>SUM('2006'!N10)</f>
        <v>0</v>
      </c>
      <c r="X29" s="56">
        <f t="shared" si="32"/>
        <v>74.5</v>
      </c>
      <c r="Y29" s="56">
        <f t="shared" si="71"/>
        <v>74.5</v>
      </c>
      <c r="Z29" s="56" t="s">
        <v>27</v>
      </c>
      <c r="AA29" s="56">
        <f>MAX('2006'!L10)</f>
        <v>1043</v>
      </c>
      <c r="AB29" s="56">
        <f>MIN('2006'!L10)</f>
        <v>1043</v>
      </c>
      <c r="AC29" s="56">
        <f>MAX('2006'!M10)</f>
        <v>1043</v>
      </c>
      <c r="AD29" s="56">
        <f>MIN('2006'!M10)</f>
        <v>1043</v>
      </c>
      <c r="AE29" s="56">
        <f>MAX('2006'!O10)</f>
        <v>112.84</v>
      </c>
      <c r="AF29" s="56">
        <f>MIN('2006'!P10)</f>
        <v>53.94</v>
      </c>
      <c r="AG29" s="56">
        <f>MAX('2006'!Q10)</f>
        <v>0</v>
      </c>
      <c r="AH29" s="56">
        <f>MIN('2006'!R10)</f>
        <v>0</v>
      </c>
      <c r="AK29" s="56" t="str">
        <f t="shared" ref="AK29:AL29" si="72">B29</f>
        <v>Highbury Hilltakers</v>
      </c>
      <c r="AL29" s="56" t="str">
        <f t="shared" si="72"/>
        <v>P. Townsend</v>
      </c>
    </row>
    <row r="30" spans="1:39" x14ac:dyDescent="0.2">
      <c r="A30" s="56">
        <v>27</v>
      </c>
      <c r="B30" s="57" t="s">
        <v>34</v>
      </c>
      <c r="C30" s="57" t="s">
        <v>39</v>
      </c>
      <c r="D30" s="58">
        <f t="shared" si="65"/>
        <v>0.38461538461538464</v>
      </c>
      <c r="E30" s="59">
        <f t="shared" si="66"/>
        <v>13</v>
      </c>
      <c r="F30" s="56">
        <f>SUM('2003'!D10)</f>
        <v>5</v>
      </c>
      <c r="G30" s="56">
        <f>SUM('2003'!E10)</f>
        <v>8</v>
      </c>
      <c r="H30" s="58">
        <f t="shared" si="67"/>
        <v>0.38461538461538464</v>
      </c>
      <c r="I30" s="56">
        <f t="shared" si="68"/>
        <v>13</v>
      </c>
      <c r="J30" s="56">
        <f>SUM('2003'!F10)</f>
        <v>5</v>
      </c>
      <c r="K30" s="56">
        <f>SUM('2003'!G10)</f>
        <v>8</v>
      </c>
      <c r="L30" s="56">
        <f>MAX('2003'!F10)</f>
        <v>5</v>
      </c>
      <c r="M30" s="56">
        <f>MIN('2003'!G10)</f>
        <v>8</v>
      </c>
      <c r="N30" s="58">
        <f>IF(O30=0,0,P30/O30)</f>
        <v>0</v>
      </c>
      <c r="O30" s="56">
        <f t="shared" si="69"/>
        <v>0</v>
      </c>
      <c r="P30" s="56">
        <f>SUM('2003'!H10)</f>
        <v>0</v>
      </c>
      <c r="Q30" s="56">
        <f>SUM('2003'!I10)</f>
        <v>0</v>
      </c>
      <c r="R30" s="56">
        <f t="shared" si="70"/>
        <v>1</v>
      </c>
      <c r="S30" s="56">
        <f>SUM('2003'!J10)</f>
        <v>0</v>
      </c>
      <c r="T30" s="56">
        <f>SUM('2003'!K10)</f>
        <v>1</v>
      </c>
      <c r="U30" s="56">
        <f>SUM('2003'!L10)</f>
        <v>1010.2600000000002</v>
      </c>
      <c r="V30" s="56">
        <f>SUM('2003'!M10)</f>
        <v>1010.2600000000002</v>
      </c>
      <c r="W30" s="56">
        <f>SUM('2003'!N10)</f>
        <v>0</v>
      </c>
      <c r="X30" s="56">
        <f>U30/E30</f>
        <v>77.712307692307704</v>
      </c>
      <c r="Y30" s="56">
        <f t="shared" si="71"/>
        <v>77.712307692307704</v>
      </c>
      <c r="Z30" s="56" t="s">
        <v>27</v>
      </c>
      <c r="AA30" s="56">
        <f>MAX('2003'!L10)</f>
        <v>1010.2600000000002</v>
      </c>
      <c r="AB30" s="56">
        <f>MIN('2003'!L10)</f>
        <v>1010.2600000000002</v>
      </c>
      <c r="AC30" s="56">
        <f>MAX('2003'!M10)</f>
        <v>1010.2600000000002</v>
      </c>
      <c r="AD30" s="56">
        <f>MIN('2003'!M10)</f>
        <v>1010.2600000000002</v>
      </c>
      <c r="AE30" s="56">
        <f>MAX('2003'!O10)</f>
        <v>106.95</v>
      </c>
      <c r="AF30" s="56">
        <f>MIN('2003'!P10)</f>
        <v>51.1</v>
      </c>
      <c r="AG30" s="56">
        <f>MAX('2003'!Q10)</f>
        <v>0</v>
      </c>
      <c r="AH30" s="56">
        <f>MIN('2003'!R10)</f>
        <v>0</v>
      </c>
      <c r="AK30" s="56" t="str">
        <f>B30</f>
        <v>BlindBallers</v>
      </c>
      <c r="AL30" s="56" t="str">
        <f>C30</f>
        <v>M. Walch</v>
      </c>
    </row>
    <row r="31" spans="1:39" x14ac:dyDescent="0.2">
      <c r="A31" s="56">
        <v>28</v>
      </c>
      <c r="B31" s="57" t="s">
        <v>136</v>
      </c>
      <c r="C31" s="57" t="s">
        <v>137</v>
      </c>
      <c r="D31" s="58">
        <f t="shared" ref="D31" si="73">IF(E31=0,0,F31/E31)</f>
        <v>0.35714285714285715</v>
      </c>
      <c r="E31" s="59">
        <f t="shared" ref="E31" si="74">SUM(F31:G31)</f>
        <v>14</v>
      </c>
      <c r="F31" s="56">
        <f>SUM('2012'!D10)</f>
        <v>5</v>
      </c>
      <c r="G31" s="56">
        <f>SUM('2012'!E10)</f>
        <v>9</v>
      </c>
      <c r="H31" s="58">
        <f t="shared" ref="H31" si="75">IF(I31=0,0,J31/I31)</f>
        <v>0.35714285714285715</v>
      </c>
      <c r="I31" s="56">
        <f t="shared" ref="I31" si="76">SUM(J31:K31)</f>
        <v>14</v>
      </c>
      <c r="J31" s="56">
        <f>SUM('2012'!F10)</f>
        <v>5</v>
      </c>
      <c r="K31" s="56">
        <f>SUM('2012'!G10)</f>
        <v>9</v>
      </c>
      <c r="L31" s="56">
        <f>MAX('2012'!F10)</f>
        <v>5</v>
      </c>
      <c r="M31" s="56">
        <f>MIN('2012'!G10)</f>
        <v>9</v>
      </c>
      <c r="N31" s="58">
        <f t="shared" ref="N31" si="77">IF(O31=0,0,P31/O31)</f>
        <v>0</v>
      </c>
      <c r="O31" s="56">
        <f t="shared" ref="O31" si="78">SUM(P31,Q31)</f>
        <v>0</v>
      </c>
      <c r="P31" s="56">
        <f>SUM('2012'!H10)</f>
        <v>0</v>
      </c>
      <c r="Q31" s="56">
        <f>SUM('2012'!I10)</f>
        <v>0</v>
      </c>
      <c r="R31" s="56">
        <f t="shared" ref="R31" si="79">SUM(S31:T31)</f>
        <v>1</v>
      </c>
      <c r="S31" s="56">
        <f>SUM('2012'!J10)</f>
        <v>0</v>
      </c>
      <c r="T31" s="56">
        <f>SUM('2012'!K10)</f>
        <v>1</v>
      </c>
      <c r="U31" s="56">
        <f>SUM('2012'!L10)</f>
        <v>1085.47</v>
      </c>
      <c r="V31" s="56">
        <f>SUM('2012'!M10)</f>
        <v>1085.47</v>
      </c>
      <c r="W31" s="56">
        <f>SUM('2012'!N10)</f>
        <v>0</v>
      </c>
      <c r="X31" s="56">
        <f t="shared" ref="X31" si="80">U31/E31</f>
        <v>77.533571428571435</v>
      </c>
      <c r="Y31" s="56">
        <f t="shared" ref="Y31" si="81">V31/I31</f>
        <v>77.533571428571435</v>
      </c>
      <c r="Z31" s="56" t="s">
        <v>27</v>
      </c>
      <c r="AA31" s="56">
        <f>MAX('2012'!L10)</f>
        <v>1085.47</v>
      </c>
      <c r="AB31" s="56">
        <f>MIN('2012'!L10)</f>
        <v>1085.47</v>
      </c>
      <c r="AC31" s="56">
        <f>MAX('2012'!M10)</f>
        <v>1085.47</v>
      </c>
      <c r="AD31" s="56">
        <f>MIN('2012'!M10)</f>
        <v>1085.47</v>
      </c>
      <c r="AE31" s="56">
        <f>MAX('2012'!O10)</f>
        <v>120.08</v>
      </c>
      <c r="AF31" s="56">
        <f>MIN('2012'!P10)</f>
        <v>24.84</v>
      </c>
      <c r="AG31" s="56">
        <f>MAX('2012'!Q10)</f>
        <v>0</v>
      </c>
      <c r="AH31" s="56">
        <f>MIN('2012'!R10)</f>
        <v>0</v>
      </c>
      <c r="AK31" s="56" t="str">
        <f t="shared" ref="AK31" si="82">B31</f>
        <v>Gridiron</v>
      </c>
      <c r="AL31" s="56" t="str">
        <f t="shared" ref="AL31" si="83">C31</f>
        <v>S. Williams</v>
      </c>
    </row>
    <row r="32" spans="1:39" x14ac:dyDescent="0.2">
      <c r="A32" s="56">
        <v>29</v>
      </c>
      <c r="B32" s="57" t="s">
        <v>133</v>
      </c>
      <c r="C32" s="57" t="s">
        <v>134</v>
      </c>
      <c r="D32" s="58">
        <f t="shared" ref="D32" si="84">IF(E32=0,0,F32/E32)</f>
        <v>0.35294117647058826</v>
      </c>
      <c r="E32" s="59">
        <f t="shared" ref="E32" si="85">SUM(F32:G32)</f>
        <v>17</v>
      </c>
      <c r="F32" s="56">
        <f>SUM('2011'!D9)</f>
        <v>6</v>
      </c>
      <c r="G32" s="56">
        <f>SUM('2011'!E9)</f>
        <v>11</v>
      </c>
      <c r="H32" s="58">
        <f t="shared" ref="H32" si="86">IF(I32=0,0,J32/I32)</f>
        <v>0.42857142857142855</v>
      </c>
      <c r="I32" s="56">
        <f t="shared" ref="I32" si="87">SUM(J32:K32)</f>
        <v>14</v>
      </c>
      <c r="J32" s="56">
        <f>SUM('2011'!F9)</f>
        <v>6</v>
      </c>
      <c r="K32" s="56">
        <f>SUM('2011'!G9)</f>
        <v>8</v>
      </c>
      <c r="L32" s="56">
        <f>MAX('2011'!F9)</f>
        <v>6</v>
      </c>
      <c r="M32" s="56">
        <f>MIN('2011'!G9)</f>
        <v>8</v>
      </c>
      <c r="N32" s="58">
        <f t="shared" ref="N32" si="88">IF(O32=0,0,P32/O32)</f>
        <v>0</v>
      </c>
      <c r="O32" s="56">
        <f t="shared" ref="O32" si="89">SUM(P32,Q32)</f>
        <v>3</v>
      </c>
      <c r="P32" s="56">
        <f>SUM('2011'!H9)</f>
        <v>0</v>
      </c>
      <c r="Q32" s="56">
        <f>SUM('2011'!I9)</f>
        <v>3</v>
      </c>
      <c r="R32" s="56">
        <f t="shared" ref="R32:R34" si="90">SUM(S32:T32)</f>
        <v>1</v>
      </c>
      <c r="S32" s="56">
        <f>SUM('2011'!J9)</f>
        <v>0</v>
      </c>
      <c r="T32" s="56">
        <f>SUM('2011'!K9)</f>
        <v>1</v>
      </c>
      <c r="U32" s="56">
        <f>SUM('2011'!L9)</f>
        <v>1393.38</v>
      </c>
      <c r="V32" s="56">
        <f>SUM('2011'!M9)</f>
        <v>1200.5</v>
      </c>
      <c r="W32" s="56">
        <f>SUM('2011'!N9)</f>
        <v>192.88</v>
      </c>
      <c r="X32" s="56">
        <f t="shared" ref="X32" si="91">U32/E32</f>
        <v>81.963529411764711</v>
      </c>
      <c r="Y32" s="56">
        <f t="shared" ref="Y32" si="92">V32/I32</f>
        <v>85.75</v>
      </c>
      <c r="Z32" s="28">
        <f>W32/O32</f>
        <v>64.293333333333337</v>
      </c>
      <c r="AA32" s="56">
        <f>MAX('2011'!L9)</f>
        <v>1393.38</v>
      </c>
      <c r="AB32" s="56">
        <f>MIN('2011'!L9)</f>
        <v>1393.38</v>
      </c>
      <c r="AC32" s="56">
        <f>MAX('2011'!M9)</f>
        <v>1200.5</v>
      </c>
      <c r="AD32" s="56">
        <f>MIN('2011'!M9)</f>
        <v>1200.5</v>
      </c>
      <c r="AE32" s="56">
        <f>MAX('2011'!O9)</f>
        <v>115.66</v>
      </c>
      <c r="AF32" s="56">
        <f>MIN('2011'!P9)</f>
        <v>55.29</v>
      </c>
      <c r="AG32" s="56">
        <f>MAX('2011'!Q9)</f>
        <v>89.74</v>
      </c>
      <c r="AH32" s="56">
        <f>MIN('2011'!R9)</f>
        <v>43.02</v>
      </c>
      <c r="AK32" s="56" t="str">
        <f t="shared" ref="AK32" si="93">B32</f>
        <v>Suck My Ditka</v>
      </c>
      <c r="AL32" s="56" t="str">
        <f t="shared" ref="AL32" si="94">C32</f>
        <v>N. Pinckard</v>
      </c>
    </row>
    <row r="33" spans="1:39" x14ac:dyDescent="0.2">
      <c r="A33" s="56">
        <v>30</v>
      </c>
      <c r="B33" s="57" t="s">
        <v>57</v>
      </c>
      <c r="C33" s="57" t="s">
        <v>132</v>
      </c>
      <c r="D33" s="58">
        <f t="shared" si="25"/>
        <v>0.21428571428571427</v>
      </c>
      <c r="E33" s="59">
        <f t="shared" si="26"/>
        <v>14</v>
      </c>
      <c r="F33" s="56">
        <f>SUM('2005'!D12)</f>
        <v>3</v>
      </c>
      <c r="G33" s="56">
        <f>SUM('2005'!E12)</f>
        <v>11</v>
      </c>
      <c r="H33" s="58">
        <f t="shared" si="27"/>
        <v>0.21428571428571427</v>
      </c>
      <c r="I33" s="56">
        <f t="shared" si="28"/>
        <v>14</v>
      </c>
      <c r="J33" s="56">
        <f>SUM('2005'!F12)</f>
        <v>3</v>
      </c>
      <c r="K33" s="56">
        <f>SUM('2005'!G12)</f>
        <v>11</v>
      </c>
      <c r="L33" s="56">
        <f>MAX('2005'!F12)</f>
        <v>3</v>
      </c>
      <c r="M33" s="56">
        <f>MIN('2005'!G12)</f>
        <v>11</v>
      </c>
      <c r="N33" s="58">
        <f t="shared" si="29"/>
        <v>0</v>
      </c>
      <c r="O33" s="56">
        <f t="shared" si="30"/>
        <v>0</v>
      </c>
      <c r="P33" s="56">
        <f>SUM('2005'!H12)</f>
        <v>0</v>
      </c>
      <c r="Q33" s="56">
        <f>SUM('2005'!I12)</f>
        <v>0</v>
      </c>
      <c r="R33" s="56">
        <f t="shared" si="90"/>
        <v>1</v>
      </c>
      <c r="S33" s="56">
        <f>SUM('2005'!J12)</f>
        <v>0</v>
      </c>
      <c r="T33" s="56">
        <f>SUM('2005'!K12)</f>
        <v>1</v>
      </c>
      <c r="U33" s="56">
        <f>SUM('2005'!L12)</f>
        <v>915.61000000000013</v>
      </c>
      <c r="V33" s="56">
        <f>SUM('2005'!M12)</f>
        <v>915.61000000000013</v>
      </c>
      <c r="W33" s="56">
        <f>SUM('2005'!N12)</f>
        <v>0</v>
      </c>
      <c r="X33" s="56">
        <f t="shared" si="32"/>
        <v>65.400714285714301</v>
      </c>
      <c r="Y33" s="56">
        <f t="shared" si="38"/>
        <v>65.400714285714301</v>
      </c>
      <c r="Z33" s="56" t="s">
        <v>27</v>
      </c>
      <c r="AA33" s="56">
        <f>MAX('2005'!L12)</f>
        <v>915.61000000000013</v>
      </c>
      <c r="AB33" s="56">
        <f>MIN('2005'!L12)</f>
        <v>915.61000000000013</v>
      </c>
      <c r="AC33" s="56">
        <f>MAX('2005'!M12)</f>
        <v>915.61000000000013</v>
      </c>
      <c r="AD33" s="56">
        <f>MIN('2005'!M12)</f>
        <v>915.61000000000013</v>
      </c>
      <c r="AE33" s="56">
        <f>MAX('2005'!O12)</f>
        <v>115.84</v>
      </c>
      <c r="AF33" s="56">
        <f>MIN('2005'!P12)</f>
        <v>32.200000000000003</v>
      </c>
      <c r="AG33" s="56">
        <f>MAX('2005'!Q12)</f>
        <v>0</v>
      </c>
      <c r="AH33" s="56">
        <f>MIN('2005'!R12)</f>
        <v>0</v>
      </c>
      <c r="AK33" s="56" t="str">
        <f t="shared" si="41"/>
        <v>02TIGER</v>
      </c>
      <c r="AL33" s="56" t="str">
        <f t="shared" si="42"/>
        <v>G. Ariko</v>
      </c>
    </row>
    <row r="34" spans="1:39" ht="12.75" customHeight="1" x14ac:dyDescent="0.2">
      <c r="A34" s="56">
        <v>31</v>
      </c>
      <c r="B34" s="57" t="s">
        <v>146</v>
      </c>
      <c r="C34" s="57" t="s">
        <v>147</v>
      </c>
      <c r="D34" s="58">
        <f t="shared" ref="D34" si="95">IF(E34=0,0,F34/E34)</f>
        <v>0.2</v>
      </c>
      <c r="E34" s="59">
        <f t="shared" ref="E34" si="96">SUM(F34:G34)</f>
        <v>15</v>
      </c>
      <c r="F34" s="56">
        <f>SUM('2014'!D9)</f>
        <v>3</v>
      </c>
      <c r="G34" s="56">
        <f>SUM('2014'!E9)</f>
        <v>12</v>
      </c>
      <c r="H34" s="58">
        <f t="shared" ref="H34" si="97">IF(I34=0,0,J34/I34)</f>
        <v>0.15384615384615385</v>
      </c>
      <c r="I34" s="56">
        <f t="shared" ref="I34" si="98">SUM(J34:K34)</f>
        <v>13</v>
      </c>
      <c r="J34" s="56">
        <f>SUM('2014'!F9)</f>
        <v>2</v>
      </c>
      <c r="K34" s="56">
        <f>SUM('2014'!G9)</f>
        <v>11</v>
      </c>
      <c r="L34" s="56">
        <f>MAX('2014'!F9)</f>
        <v>2</v>
      </c>
      <c r="M34" s="56">
        <f>MIN('2014'!G9)</f>
        <v>11</v>
      </c>
      <c r="N34" s="58">
        <f t="shared" ref="N34" si="99">IF(O34=0,0,P34/O34)</f>
        <v>0.5</v>
      </c>
      <c r="O34" s="56">
        <f t="shared" ref="O34" si="100">SUM(P34,Q34)</f>
        <v>2</v>
      </c>
      <c r="P34" s="56">
        <f>SUM('2014'!H9)</f>
        <v>1</v>
      </c>
      <c r="Q34" s="56">
        <f>SUM('2014'!I9)</f>
        <v>1</v>
      </c>
      <c r="R34" s="56">
        <f t="shared" si="90"/>
        <v>1</v>
      </c>
      <c r="S34" s="56">
        <f>SUM('2014'!J9)</f>
        <v>0</v>
      </c>
      <c r="T34" s="56">
        <f>SUM('2014'!K9)</f>
        <v>1</v>
      </c>
      <c r="U34" s="56">
        <f>SUM('2014'!L9)</f>
        <v>1213.6200000000003</v>
      </c>
      <c r="V34" s="56">
        <f>SUM('2014'!M9)</f>
        <v>1075.6800000000003</v>
      </c>
      <c r="W34" s="56">
        <f>SUM('2014'!N9)</f>
        <v>137.94</v>
      </c>
      <c r="X34" s="56">
        <f t="shared" ref="X34" si="101">U34/E34</f>
        <v>80.90800000000003</v>
      </c>
      <c r="Y34" s="56">
        <f t="shared" ref="Y34" si="102">V34/I34</f>
        <v>82.7446153846154</v>
      </c>
      <c r="Z34" s="28">
        <f>W34/O34</f>
        <v>68.97</v>
      </c>
      <c r="AA34" s="56">
        <f>MAX('2014'!L9)</f>
        <v>1213.6200000000003</v>
      </c>
      <c r="AB34" s="56">
        <f>MIN('2014'!L9)</f>
        <v>1213.6200000000003</v>
      </c>
      <c r="AC34" s="56">
        <f>MAX('2014'!M9)</f>
        <v>1075.6800000000003</v>
      </c>
      <c r="AD34" s="56">
        <f>MIN('2014'!M9)</f>
        <v>1075.6800000000003</v>
      </c>
      <c r="AE34" s="56">
        <f>MAX('2014'!O9)</f>
        <v>123.86</v>
      </c>
      <c r="AF34" s="56">
        <f>MIN('2014'!P9)</f>
        <v>56.72</v>
      </c>
      <c r="AG34" s="56">
        <f>MAX('2014'!Q9)</f>
        <v>88.78</v>
      </c>
      <c r="AH34" s="56">
        <f>MIN('2014'!R9)</f>
        <v>49.16</v>
      </c>
      <c r="AK34" s="56" t="str">
        <f t="shared" ref="AK34" si="103">B34</f>
        <v>Bus Driver</v>
      </c>
      <c r="AL34" s="56" t="str">
        <f t="shared" ref="AL34" si="104">C34</f>
        <v>J. Van Horn</v>
      </c>
    </row>
    <row r="35" spans="1:39" x14ac:dyDescent="0.2">
      <c r="A35" s="56">
        <v>32</v>
      </c>
      <c r="B35" s="57" t="s">
        <v>58</v>
      </c>
      <c r="C35" s="57" t="s">
        <v>60</v>
      </c>
      <c r="D35" s="58">
        <f>IF(E35=0,0,F35/E35)</f>
        <v>0.14285714285714285</v>
      </c>
      <c r="E35" s="59">
        <f>SUM(F35:G35)</f>
        <v>14</v>
      </c>
      <c r="F35" s="56">
        <f>SUM('2005'!D13)</f>
        <v>2</v>
      </c>
      <c r="G35" s="56">
        <f>SUM('2005'!E13)</f>
        <v>12</v>
      </c>
      <c r="H35" s="58">
        <f>IF(I35=0,0,J35/I35)</f>
        <v>0.14285714285714285</v>
      </c>
      <c r="I35" s="56">
        <f>SUM(J35:K35)</f>
        <v>14</v>
      </c>
      <c r="J35" s="56">
        <f>SUM('2005'!F13)</f>
        <v>2</v>
      </c>
      <c r="K35" s="56">
        <f>SUM('2005'!G13)</f>
        <v>12</v>
      </c>
      <c r="L35" s="56">
        <f>MAX('2005'!F13)</f>
        <v>2</v>
      </c>
      <c r="M35" s="56">
        <f>MIN('2005'!G13)</f>
        <v>12</v>
      </c>
      <c r="N35" s="58">
        <f>IF(O35=0,0,P35/O35)</f>
        <v>0</v>
      </c>
      <c r="O35" s="56">
        <f>SUM(P35,Q35)</f>
        <v>0</v>
      </c>
      <c r="P35" s="56">
        <f>SUM('2005'!H13)</f>
        <v>0</v>
      </c>
      <c r="Q35" s="56">
        <f>SUM('2005'!I13)</f>
        <v>0</v>
      </c>
      <c r="R35" s="56">
        <f>SUM(S35:T35)</f>
        <v>1</v>
      </c>
      <c r="S35" s="56">
        <f>SUM('2005'!J13)</f>
        <v>0</v>
      </c>
      <c r="T35" s="56">
        <f>SUM('2005'!K13)</f>
        <v>1</v>
      </c>
      <c r="U35" s="56">
        <f>SUM('2005'!L13)</f>
        <v>873.69999999999993</v>
      </c>
      <c r="V35" s="56">
        <f>SUM('2005'!M13)</f>
        <v>873.69999999999993</v>
      </c>
      <c r="W35" s="56">
        <f>SUM('2005'!N13)</f>
        <v>0</v>
      </c>
      <c r="X35" s="56">
        <f>U35/E35</f>
        <v>62.407142857142851</v>
      </c>
      <c r="Y35" s="56">
        <f>V35/I35</f>
        <v>62.407142857142851</v>
      </c>
      <c r="Z35" s="56" t="s">
        <v>27</v>
      </c>
      <c r="AA35" s="56">
        <f>MAX('2005'!L13)</f>
        <v>873.69999999999993</v>
      </c>
      <c r="AB35" s="56">
        <f>MIN('2005'!L13)</f>
        <v>873.69999999999993</v>
      </c>
      <c r="AC35" s="56">
        <f>MAX('2005'!M13)</f>
        <v>873.69999999999993</v>
      </c>
      <c r="AD35" s="56">
        <f>MIN('2005'!M13)</f>
        <v>873.69999999999993</v>
      </c>
      <c r="AE35" s="56">
        <f>MAX('2005'!O13)</f>
        <v>98.63</v>
      </c>
      <c r="AF35" s="56">
        <f>MIN('2005'!P13)</f>
        <v>19.86</v>
      </c>
      <c r="AG35" s="56">
        <f>MAX('2005'!Q13)</f>
        <v>0</v>
      </c>
      <c r="AH35" s="56">
        <f>MIN('2005'!R13)</f>
        <v>0</v>
      </c>
      <c r="AK35" s="56" t="str">
        <f t="shared" ref="AK35:AL35" si="105">B35</f>
        <v>Big Dick Micks</v>
      </c>
      <c r="AL35" s="56" t="str">
        <f t="shared" si="105"/>
        <v>burns32958</v>
      </c>
    </row>
    <row r="36" spans="1:39" ht="12.75" customHeight="1" thickBot="1" x14ac:dyDescent="0.25">
      <c r="A36" s="78"/>
      <c r="B36" s="83"/>
      <c r="C36" s="83"/>
      <c r="D36" s="80"/>
      <c r="E36" s="81"/>
      <c r="F36" s="78"/>
      <c r="G36" s="78"/>
      <c r="H36" s="80"/>
      <c r="I36" s="78"/>
      <c r="J36" s="78"/>
      <c r="K36" s="78"/>
      <c r="L36" s="78"/>
      <c r="M36" s="78"/>
      <c r="N36" s="80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9"/>
      <c r="AJ36" s="82"/>
      <c r="AK36" s="78"/>
      <c r="AL36" s="78"/>
      <c r="AM36" s="79"/>
    </row>
    <row r="37" spans="1:39" x14ac:dyDescent="0.2">
      <c r="D37" s="58"/>
      <c r="H37" s="58"/>
      <c r="N37" s="58"/>
      <c r="AK37" s="56"/>
      <c r="AL37" s="56"/>
    </row>
    <row r="38" spans="1:39" x14ac:dyDescent="0.2">
      <c r="D38" s="58"/>
      <c r="H38" s="58"/>
      <c r="N38" s="58"/>
      <c r="AK38" s="56"/>
      <c r="AL38" s="56"/>
    </row>
    <row r="40" spans="1:39" x14ac:dyDescent="0.2">
      <c r="A40" s="28"/>
      <c r="B40" s="29"/>
      <c r="C40" s="29"/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9"/>
      <c r="AK40" s="29"/>
      <c r="AL40" s="29"/>
      <c r="AM40" s="29"/>
    </row>
    <row r="41" spans="1:39" x14ac:dyDescent="0.2">
      <c r="A41" s="28"/>
      <c r="B41" s="29"/>
      <c r="C41" s="29"/>
      <c r="D41" s="28"/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9"/>
      <c r="AK41" s="29"/>
      <c r="AL41" s="29"/>
      <c r="AM41" s="2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s="84" t="s">
        <v>153</v>
      </c>
      <c r="C2" s="84" t="s">
        <v>154</v>
      </c>
      <c r="D2" s="1">
        <f t="shared" ref="D2" si="0">SUM(F2,H2)</f>
        <v>11</v>
      </c>
      <c r="E2" s="1">
        <f t="shared" ref="E2" si="1">SUM(G2,I2)</f>
        <v>4</v>
      </c>
      <c r="F2" s="1">
        <v>9</v>
      </c>
      <c r="G2" s="1">
        <v>4</v>
      </c>
      <c r="H2" s="1">
        <v>2</v>
      </c>
      <c r="I2" s="1">
        <v>0</v>
      </c>
      <c r="J2" s="1">
        <v>1</v>
      </c>
      <c r="K2" s="1">
        <v>0</v>
      </c>
      <c r="L2" s="1">
        <f t="shared" ref="L2" si="2">SUM(M2:N2)</f>
        <v>1479.02</v>
      </c>
      <c r="M2" s="1">
        <f>103.02+66.12+75.86+112.34+94.6+123.1+120.38+101.64+109.18+67.44+65+116.18+108.82</f>
        <v>1263.68</v>
      </c>
      <c r="N2" s="1">
        <f>94.04+121.3</f>
        <v>215.34</v>
      </c>
      <c r="O2" s="1">
        <v>123.1</v>
      </c>
      <c r="P2" s="1">
        <v>65</v>
      </c>
      <c r="Q2" s="1">
        <v>121.3</v>
      </c>
      <c r="R2" s="1">
        <v>94.04</v>
      </c>
    </row>
    <row r="3" spans="1:25" x14ac:dyDescent="0.2">
      <c r="A3" s="1">
        <v>2</v>
      </c>
      <c r="B3" s="36" t="s">
        <v>145</v>
      </c>
      <c r="C3" t="s">
        <v>148</v>
      </c>
      <c r="D3" s="1">
        <f>SUM(F3,H3)</f>
        <v>9</v>
      </c>
      <c r="E3" s="1">
        <f>SUM(G3,I3)</f>
        <v>6</v>
      </c>
      <c r="F3" s="1">
        <v>8</v>
      </c>
      <c r="G3" s="1">
        <v>5</v>
      </c>
      <c r="H3" s="1">
        <v>1</v>
      </c>
      <c r="I3" s="1">
        <v>1</v>
      </c>
      <c r="J3" s="1">
        <v>0</v>
      </c>
      <c r="K3" s="1">
        <v>1</v>
      </c>
      <c r="L3" s="1">
        <f>SUM(M3:N3)</f>
        <v>1751.1399999999999</v>
      </c>
      <c r="M3" s="1">
        <f>112.06+120.72+126.3+97.5+127.4+104.76+126.08+89.88+157.34+81.74+109.4+139.08+105.76</f>
        <v>1498.02</v>
      </c>
      <c r="N3" s="1">
        <f>151.44+101.68</f>
        <v>253.12</v>
      </c>
      <c r="O3" s="1">
        <v>139.08000000000001</v>
      </c>
      <c r="P3" s="1">
        <v>81.739999999999995</v>
      </c>
      <c r="Q3" s="1">
        <v>151.44</v>
      </c>
      <c r="R3" s="1">
        <v>101.68</v>
      </c>
    </row>
    <row r="4" spans="1:25" x14ac:dyDescent="0.2">
      <c r="A4" s="1">
        <v>3</v>
      </c>
      <c r="B4" t="s">
        <v>74</v>
      </c>
      <c r="C4" t="s">
        <v>76</v>
      </c>
      <c r="D4" s="1">
        <f t="shared" ref="D4:E4" si="3">SUM(F4,H4)</f>
        <v>10</v>
      </c>
      <c r="E4" s="1">
        <f t="shared" si="3"/>
        <v>6</v>
      </c>
      <c r="F4" s="1">
        <v>8</v>
      </c>
      <c r="G4" s="1">
        <v>5</v>
      </c>
      <c r="H4" s="1">
        <v>2</v>
      </c>
      <c r="I4" s="1">
        <v>1</v>
      </c>
      <c r="J4" s="1">
        <v>0</v>
      </c>
      <c r="K4" s="1">
        <v>1</v>
      </c>
      <c r="L4" s="1">
        <f>SUM(M4:N4)</f>
        <v>1722.74</v>
      </c>
      <c r="M4" s="1">
        <f>88.26+127.74+97.22+85.18+127.12+141.5+116.98+113.32+108.26+75.82+89.94+140.2+138.4</f>
        <v>1449.94</v>
      </c>
      <c r="N4" s="1">
        <f>88.9+74.66+109.24</f>
        <v>272.8</v>
      </c>
      <c r="O4" s="1">
        <v>141.5</v>
      </c>
      <c r="P4" s="1">
        <v>75.819999999999993</v>
      </c>
      <c r="Q4" s="1">
        <v>109.24</v>
      </c>
      <c r="R4" s="1">
        <v>74.66</v>
      </c>
    </row>
    <row r="5" spans="1:25" x14ac:dyDescent="0.2">
      <c r="A5" s="1">
        <v>4</v>
      </c>
      <c r="B5" s="84" t="s">
        <v>151</v>
      </c>
      <c r="C5" s="84" t="s">
        <v>152</v>
      </c>
      <c r="D5" s="1">
        <f>SUM(F5,H5)</f>
        <v>8</v>
      </c>
      <c r="E5" s="1">
        <f>SUM(G5,I5)</f>
        <v>8</v>
      </c>
      <c r="F5" s="1">
        <v>7</v>
      </c>
      <c r="G5" s="1">
        <v>6</v>
      </c>
      <c r="H5" s="1">
        <v>1</v>
      </c>
      <c r="I5" s="1">
        <v>2</v>
      </c>
      <c r="J5" s="1">
        <v>0</v>
      </c>
      <c r="K5" s="1">
        <v>1</v>
      </c>
      <c r="L5" s="1">
        <f>SUM(M5:N5)</f>
        <v>1573.18</v>
      </c>
      <c r="M5" s="1">
        <f>137.48+81.1+116.64+66.14+97.9+122.02+61.04+73.24+118.58+130.06+108.68+90.54+90.34</f>
        <v>1293.76</v>
      </c>
      <c r="N5" s="1">
        <f>128.94+87.22+63.26</f>
        <v>279.42</v>
      </c>
      <c r="O5" s="1">
        <v>137.47999999999999</v>
      </c>
      <c r="P5" s="1">
        <v>61.04</v>
      </c>
      <c r="Q5" s="1">
        <v>128.94</v>
      </c>
      <c r="R5" s="1">
        <v>63.26</v>
      </c>
    </row>
    <row r="6" spans="1:25" x14ac:dyDescent="0.2">
      <c r="A6" s="1">
        <v>5</v>
      </c>
      <c r="B6" t="s">
        <v>45</v>
      </c>
      <c r="C6" t="s">
        <v>13</v>
      </c>
      <c r="D6" s="1">
        <f t="shared" ref="D6:E6" si="4">SUM(F6,H6)</f>
        <v>8</v>
      </c>
      <c r="E6" s="1">
        <f t="shared" si="4"/>
        <v>7</v>
      </c>
      <c r="F6" s="1">
        <v>7</v>
      </c>
      <c r="G6" s="1">
        <v>6</v>
      </c>
      <c r="H6" s="1">
        <v>1</v>
      </c>
      <c r="I6" s="1">
        <v>1</v>
      </c>
      <c r="J6" s="1">
        <v>0</v>
      </c>
      <c r="K6" s="1">
        <v>1</v>
      </c>
      <c r="L6" s="1">
        <f>SUM(M6:N6)</f>
        <v>1617.4599999999998</v>
      </c>
      <c r="M6" s="1">
        <f>91.44+138.7+161.66+66.96+92.72+94.1+122.54+82.06+125.96+118.64+93.04+87.88+135.74</f>
        <v>1411.4399999999998</v>
      </c>
      <c r="N6" s="1">
        <f>70.24+135.78</f>
        <v>206.01999999999998</v>
      </c>
      <c r="O6" s="1">
        <v>161.66</v>
      </c>
      <c r="P6" s="1">
        <v>66.959999999999994</v>
      </c>
      <c r="Q6" s="1">
        <v>135.78</v>
      </c>
      <c r="R6" s="1">
        <v>70.239999999999995</v>
      </c>
    </row>
    <row r="7" spans="1:25" x14ac:dyDescent="0.2">
      <c r="A7" s="1">
        <v>6</v>
      </c>
      <c r="B7" t="s">
        <v>157</v>
      </c>
      <c r="C7" t="s">
        <v>142</v>
      </c>
      <c r="D7" s="1">
        <f t="shared" ref="D7:E11" si="5">SUM(F7,H7)</f>
        <v>7</v>
      </c>
      <c r="E7" s="1">
        <f t="shared" si="5"/>
        <v>8</v>
      </c>
      <c r="F7" s="1">
        <v>7</v>
      </c>
      <c r="G7" s="1">
        <v>6</v>
      </c>
      <c r="H7" s="1">
        <v>0</v>
      </c>
      <c r="I7" s="1">
        <v>2</v>
      </c>
      <c r="J7" s="1">
        <v>0</v>
      </c>
      <c r="K7" s="1">
        <v>1</v>
      </c>
      <c r="L7" s="1">
        <f t="shared" ref="L7" si="6">SUM(M7:N7)</f>
        <v>1461.42</v>
      </c>
      <c r="M7" s="1">
        <f>89.5+80.76+84.92+84.98+105.32+89.14+102.38+126.9+120.86+114.2+75.08+86.88+94.02</f>
        <v>1254.94</v>
      </c>
      <c r="N7" s="1">
        <f>84.24+122.24</f>
        <v>206.48</v>
      </c>
      <c r="O7" s="1">
        <v>126.9</v>
      </c>
      <c r="P7" s="1">
        <v>75.08</v>
      </c>
      <c r="Q7" s="1">
        <v>122.24</v>
      </c>
      <c r="R7" s="1">
        <v>84.24</v>
      </c>
    </row>
    <row r="8" spans="1:25" x14ac:dyDescent="0.2">
      <c r="A8" s="1">
        <v>7</v>
      </c>
      <c r="B8" s="84" t="s">
        <v>155</v>
      </c>
      <c r="C8" s="84" t="s">
        <v>156</v>
      </c>
      <c r="D8" s="1">
        <f>SUM(F8,H8)</f>
        <v>8</v>
      </c>
      <c r="E8" s="1">
        <f>SUM(G8,I8)</f>
        <v>8</v>
      </c>
      <c r="F8" s="1">
        <v>5</v>
      </c>
      <c r="G8" s="1">
        <v>8</v>
      </c>
      <c r="H8" s="1">
        <v>3</v>
      </c>
      <c r="I8" s="1">
        <v>0</v>
      </c>
      <c r="J8" s="1">
        <v>0</v>
      </c>
      <c r="K8" s="1">
        <v>1</v>
      </c>
      <c r="L8" s="1">
        <f t="shared" ref="L8" si="7">SUM(M8:N8)</f>
        <v>1617.8400000000001</v>
      </c>
      <c r="M8" s="1">
        <f>104.58+109.3+139.46+108.94+59.02+94.26+70.28+95.6+67.38+96.08+94.16+111.62+103.6</f>
        <v>1254.2800000000002</v>
      </c>
      <c r="N8" s="1">
        <f>122.76+129.3+111.5</f>
        <v>363.56</v>
      </c>
      <c r="O8" s="1">
        <v>139.46</v>
      </c>
      <c r="P8" s="1">
        <v>59.02</v>
      </c>
      <c r="Q8" s="1">
        <v>129.30000000000001</v>
      </c>
      <c r="R8" s="1">
        <v>111.5</v>
      </c>
    </row>
    <row r="9" spans="1:25" x14ac:dyDescent="0.2">
      <c r="A9" s="1">
        <v>8</v>
      </c>
      <c r="B9" t="s">
        <v>143</v>
      </c>
      <c r="C9" t="s">
        <v>38</v>
      </c>
      <c r="D9" s="1">
        <f t="shared" ref="D9:E9" si="8">SUM(F9,H9)</f>
        <v>6</v>
      </c>
      <c r="E9" s="1">
        <f t="shared" si="8"/>
        <v>10</v>
      </c>
      <c r="F9" s="1">
        <v>4</v>
      </c>
      <c r="G9" s="1">
        <v>9</v>
      </c>
      <c r="H9" s="1">
        <v>2</v>
      </c>
      <c r="I9" s="1">
        <v>1</v>
      </c>
      <c r="J9" s="1">
        <v>0</v>
      </c>
      <c r="K9" s="1">
        <v>1</v>
      </c>
      <c r="L9" s="1">
        <f>SUM(M9:N9)</f>
        <v>1806.08</v>
      </c>
      <c r="M9" s="1">
        <f>75.52+125.16+104.04+109.82+115.22+126.96+102.62+108.7+110.54+103.72+83.22+99.34+152.72</f>
        <v>1417.58</v>
      </c>
      <c r="N9" s="1">
        <f>140.18+160.5+87.82</f>
        <v>388.5</v>
      </c>
      <c r="O9" s="1">
        <v>152.72</v>
      </c>
      <c r="P9" s="1">
        <v>75.52</v>
      </c>
      <c r="Q9" s="1">
        <v>160.5</v>
      </c>
      <c r="R9" s="1">
        <v>87.82</v>
      </c>
    </row>
    <row r="10" spans="1:25" x14ac:dyDescent="0.2">
      <c r="A10" s="1">
        <v>9</v>
      </c>
      <c r="B10" t="s">
        <v>16</v>
      </c>
      <c r="C10" t="s">
        <v>17</v>
      </c>
      <c r="D10" s="1">
        <f t="shared" si="5"/>
        <v>8</v>
      </c>
      <c r="E10" s="1">
        <f t="shared" si="5"/>
        <v>7</v>
      </c>
      <c r="F10" s="1">
        <v>7</v>
      </c>
      <c r="G10" s="1">
        <v>6</v>
      </c>
      <c r="H10" s="1">
        <v>1</v>
      </c>
      <c r="I10" s="1">
        <v>1</v>
      </c>
      <c r="J10" s="1">
        <v>0</v>
      </c>
      <c r="K10" s="1">
        <v>1</v>
      </c>
      <c r="L10" s="1">
        <f>SUM(M10:N10)</f>
        <v>1445.2399999999998</v>
      </c>
      <c r="M10" s="1">
        <f>127.36+70.56+99.56+87.16+65.28+97.3+89.38+96.92+112.86+65.8+91.64+113.82+122.02</f>
        <v>1239.6599999999999</v>
      </c>
      <c r="N10" s="1">
        <f>95.42+110.16</f>
        <v>205.57999999999998</v>
      </c>
      <c r="O10" s="1">
        <v>127.36</v>
      </c>
      <c r="P10" s="1">
        <v>65.28</v>
      </c>
      <c r="Q10" s="1">
        <v>110.16</v>
      </c>
      <c r="R10" s="1">
        <v>95.42</v>
      </c>
    </row>
    <row r="11" spans="1:25" x14ac:dyDescent="0.2">
      <c r="A11" s="1">
        <v>10</v>
      </c>
      <c r="B11" t="s">
        <v>158</v>
      </c>
      <c r="C11" t="s">
        <v>15</v>
      </c>
      <c r="D11" s="1">
        <f t="shared" si="5"/>
        <v>6</v>
      </c>
      <c r="E11" s="1">
        <f t="shared" si="5"/>
        <v>9</v>
      </c>
      <c r="F11" s="1">
        <v>6</v>
      </c>
      <c r="G11" s="1">
        <v>7</v>
      </c>
      <c r="H11" s="1">
        <v>0</v>
      </c>
      <c r="I11" s="1">
        <v>2</v>
      </c>
      <c r="J11" s="1">
        <v>0</v>
      </c>
      <c r="K11" s="1">
        <v>1</v>
      </c>
      <c r="L11" s="1">
        <f>SUM(M11:N11)</f>
        <v>1415.72</v>
      </c>
      <c r="M11" s="1">
        <f>108.7+115.56+137.92+83.52+70.42+93.22+134.9+70.34+86.06+91.64+68.1+97.18+82.38</f>
        <v>1239.94</v>
      </c>
      <c r="N11" s="1">
        <f>91.58+84.2</f>
        <v>175.78</v>
      </c>
      <c r="O11" s="1">
        <v>137.91999999999999</v>
      </c>
      <c r="P11" s="1">
        <v>68.099999999999994</v>
      </c>
      <c r="Q11" s="1">
        <v>91.58</v>
      </c>
      <c r="R11" s="1">
        <v>84.2</v>
      </c>
    </row>
    <row r="12" spans="1:25" x14ac:dyDescent="0.2">
      <c r="A12" s="1">
        <v>11</v>
      </c>
      <c r="B12" t="s">
        <v>144</v>
      </c>
      <c r="C12" t="s">
        <v>40</v>
      </c>
      <c r="D12" s="1">
        <f t="shared" ref="D12:E12" si="9">SUM(F12,H12)</f>
        <v>6</v>
      </c>
      <c r="E12" s="1">
        <f t="shared" si="9"/>
        <v>9</v>
      </c>
      <c r="F12" s="1">
        <v>5</v>
      </c>
      <c r="G12" s="1">
        <v>8</v>
      </c>
      <c r="H12" s="1">
        <v>1</v>
      </c>
      <c r="I12" s="1">
        <v>1</v>
      </c>
      <c r="J12" s="1">
        <v>0</v>
      </c>
      <c r="K12" s="1">
        <v>1</v>
      </c>
      <c r="L12" s="1">
        <f t="shared" ref="L12" si="10">SUM(M12:N12)</f>
        <v>1507.8000000000002</v>
      </c>
      <c r="M12" s="1">
        <f>98.3+121.04+71.12+89.06+118.26+133.64+122.34+103.72+89.06+74.9+89.3+93.68+102.36</f>
        <v>1306.7800000000002</v>
      </c>
      <c r="N12" s="1">
        <f>78.1+122.92</f>
        <v>201.01999999999998</v>
      </c>
      <c r="O12" s="1">
        <v>133.63999999999999</v>
      </c>
      <c r="P12" s="1">
        <v>71.12</v>
      </c>
      <c r="Q12" s="1">
        <v>122.92</v>
      </c>
      <c r="R12" s="1">
        <v>78.099999999999994</v>
      </c>
    </row>
    <row r="13" spans="1:25" x14ac:dyDescent="0.2">
      <c r="A13" s="1">
        <v>12</v>
      </c>
      <c r="B13" t="s">
        <v>138</v>
      </c>
      <c r="C13" t="s">
        <v>19</v>
      </c>
      <c r="D13" s="1">
        <f t="shared" ref="D13:E13" si="11">SUM(F13,H13)</f>
        <v>5</v>
      </c>
      <c r="E13" s="1">
        <f t="shared" si="11"/>
        <v>10</v>
      </c>
      <c r="F13" s="1">
        <v>5</v>
      </c>
      <c r="G13" s="1">
        <v>8</v>
      </c>
      <c r="H13" s="1">
        <v>0</v>
      </c>
      <c r="I13" s="1">
        <v>2</v>
      </c>
      <c r="J13" s="1">
        <v>0</v>
      </c>
      <c r="K13" s="1">
        <v>1</v>
      </c>
      <c r="L13" s="1">
        <f t="shared" ref="L13" si="12">SUM(M13:N13)</f>
        <v>1400.48</v>
      </c>
      <c r="M13" s="1">
        <f>84.72+92.74+91.5+35.38+173.76+70.82+53.22+96.12+127.96+98.48+61.7+70.32+145.04</f>
        <v>1201.76</v>
      </c>
      <c r="N13" s="1">
        <f>119.16+79.56</f>
        <v>198.72</v>
      </c>
      <c r="O13" s="1">
        <v>173.76</v>
      </c>
      <c r="P13" s="1">
        <v>35.380000000000003</v>
      </c>
      <c r="Q13" s="1">
        <v>119.56</v>
      </c>
      <c r="R13" s="1">
        <v>79.56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2" sqref="M2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50</v>
      </c>
      <c r="C2" t="s">
        <v>15</v>
      </c>
      <c r="D2" s="1">
        <f>SUM(F2,H2)</f>
        <v>12</v>
      </c>
      <c r="E2" s="1">
        <f>SUM(G2,I2)</f>
        <v>3</v>
      </c>
      <c r="F2" s="1">
        <v>10</v>
      </c>
      <c r="G2" s="1">
        <v>3</v>
      </c>
      <c r="H2" s="1">
        <v>2</v>
      </c>
      <c r="I2" s="1">
        <v>0</v>
      </c>
      <c r="J2" s="1">
        <v>1</v>
      </c>
      <c r="K2" s="1">
        <v>0</v>
      </c>
      <c r="L2" s="1">
        <f>SUM(M2:N2)</f>
        <v>1733.6200000000001</v>
      </c>
      <c r="M2" s="1">
        <f>114.12+113.16+88.72+119.58+154.4+91.96+121.24+90.24+151.44+108.74+113.06+123.98+116.92</f>
        <v>1507.5600000000002</v>
      </c>
      <c r="N2" s="1">
        <f>116.74+109.32</f>
        <v>226.06</v>
      </c>
      <c r="O2" s="1">
        <v>154.4</v>
      </c>
      <c r="P2" s="1">
        <v>88.72</v>
      </c>
      <c r="Q2" s="1">
        <v>116.74</v>
      </c>
      <c r="R2" s="1">
        <v>109.32</v>
      </c>
    </row>
    <row r="3" spans="1:25" x14ac:dyDescent="0.2">
      <c r="A3" s="1">
        <v>2</v>
      </c>
      <c r="B3" s="36" t="s">
        <v>145</v>
      </c>
      <c r="C3" t="s">
        <v>148</v>
      </c>
      <c r="D3" s="1">
        <f t="shared" ref="D3:E3" si="0">SUM(F3,H3)</f>
        <v>11</v>
      </c>
      <c r="E3" s="1">
        <f t="shared" si="0"/>
        <v>4</v>
      </c>
      <c r="F3" s="1">
        <v>10</v>
      </c>
      <c r="G3" s="1">
        <v>3</v>
      </c>
      <c r="H3" s="1">
        <v>1</v>
      </c>
      <c r="I3" s="1">
        <v>1</v>
      </c>
      <c r="J3" s="1">
        <v>0</v>
      </c>
      <c r="K3" s="1">
        <v>1</v>
      </c>
      <c r="L3" s="1">
        <f>SUM(M3:N3)</f>
        <v>1861</v>
      </c>
      <c r="M3" s="1">
        <f>129.5+102.22+105.54+123.38+99.32+104.14+142.24+136.44+120.9+101.12+144.26+136.36+168.3</f>
        <v>1613.72</v>
      </c>
      <c r="N3" s="1">
        <f>146.28+101</f>
        <v>247.28</v>
      </c>
      <c r="O3" s="1">
        <v>168.3</v>
      </c>
      <c r="P3" s="1">
        <v>99.32</v>
      </c>
      <c r="Q3" s="1">
        <v>146.28</v>
      </c>
      <c r="R3" s="1">
        <v>101</v>
      </c>
    </row>
    <row r="4" spans="1:25" x14ac:dyDescent="0.2">
      <c r="A4" s="1">
        <v>3</v>
      </c>
      <c r="B4" t="s">
        <v>16</v>
      </c>
      <c r="C4" t="s">
        <v>17</v>
      </c>
      <c r="D4" s="1">
        <f t="shared" ref="D4:E4" si="1">SUM(F4,H4)</f>
        <v>10</v>
      </c>
      <c r="E4" s="1">
        <f t="shared" si="1"/>
        <v>6</v>
      </c>
      <c r="F4" s="1">
        <v>8</v>
      </c>
      <c r="G4" s="1">
        <v>5</v>
      </c>
      <c r="H4" s="1">
        <v>2</v>
      </c>
      <c r="I4" s="1">
        <v>1</v>
      </c>
      <c r="J4" s="1">
        <v>0</v>
      </c>
      <c r="K4" s="1">
        <v>1</v>
      </c>
      <c r="L4" s="1">
        <f>SUM(M4:N4)</f>
        <v>1781.56</v>
      </c>
      <c r="M4" s="1">
        <f>95.64+72.78+106.38+124.82+90.16+135.68+87.58+157.72+125.66+111.98+90.62+105.66+132.88</f>
        <v>1437.56</v>
      </c>
      <c r="N4" s="1">
        <f>163.86+91.7+88.44</f>
        <v>344</v>
      </c>
      <c r="O4" s="1">
        <v>157.72</v>
      </c>
      <c r="P4" s="1">
        <v>72.78</v>
      </c>
      <c r="Q4" s="1">
        <v>163.86</v>
      </c>
      <c r="R4" s="1">
        <v>88.44</v>
      </c>
    </row>
    <row r="5" spans="1:25" x14ac:dyDescent="0.2">
      <c r="A5" s="1">
        <v>4</v>
      </c>
      <c r="B5" t="s">
        <v>138</v>
      </c>
      <c r="C5" t="s">
        <v>19</v>
      </c>
      <c r="D5" s="1">
        <f t="shared" ref="D5:E5" si="2">SUM(F5,H5)</f>
        <v>8</v>
      </c>
      <c r="E5" s="1">
        <f t="shared" si="2"/>
        <v>8</v>
      </c>
      <c r="F5" s="1">
        <v>7</v>
      </c>
      <c r="G5" s="1">
        <v>6</v>
      </c>
      <c r="H5" s="1">
        <v>1</v>
      </c>
      <c r="I5" s="1">
        <v>2</v>
      </c>
      <c r="J5" s="1">
        <v>0</v>
      </c>
      <c r="K5" s="1">
        <v>1</v>
      </c>
      <c r="L5" s="1">
        <f t="shared" ref="L5" si="3">SUM(M5:N5)</f>
        <v>1686.9199999999998</v>
      </c>
      <c r="M5" s="1">
        <f>105.86+74.02+102.46+122.86+131.7+109.58+114.46+64.12+99.3+140.06+74.24+165.04+73.36</f>
        <v>1377.06</v>
      </c>
      <c r="N5" s="1">
        <f>140.26+98.64+70.96</f>
        <v>309.85999999999996</v>
      </c>
      <c r="O5" s="1">
        <v>165.04</v>
      </c>
      <c r="P5" s="1">
        <v>64.12</v>
      </c>
      <c r="Q5" s="1">
        <v>140.26</v>
      </c>
      <c r="R5" s="1">
        <v>70.959999999999994</v>
      </c>
    </row>
    <row r="6" spans="1:25" x14ac:dyDescent="0.2">
      <c r="A6" s="1">
        <v>5</v>
      </c>
      <c r="B6" t="s">
        <v>143</v>
      </c>
      <c r="C6" t="s">
        <v>38</v>
      </c>
      <c r="D6" s="1">
        <f t="shared" ref="D6:E9" si="4">SUM(F6,H6)</f>
        <v>9</v>
      </c>
      <c r="E6" s="1">
        <f t="shared" si="4"/>
        <v>6</v>
      </c>
      <c r="F6" s="1">
        <v>8</v>
      </c>
      <c r="G6" s="1">
        <v>5</v>
      </c>
      <c r="H6" s="1">
        <v>1</v>
      </c>
      <c r="I6" s="1">
        <v>1</v>
      </c>
      <c r="J6" s="1">
        <v>0</v>
      </c>
      <c r="K6" s="1">
        <v>1</v>
      </c>
      <c r="L6" s="1">
        <f>SUM(M6:N6)</f>
        <v>1648.98</v>
      </c>
      <c r="M6" s="1">
        <f>98.56+129.66+89.62+142.98+95.88+112.62+103.3+91.42+122.44+129.8+78.52+92.34+96.42</f>
        <v>1383.56</v>
      </c>
      <c r="N6" s="1">
        <f>157.02+108.4</f>
        <v>265.42</v>
      </c>
      <c r="O6" s="1">
        <v>142.97999999999999</v>
      </c>
      <c r="P6" s="1">
        <v>78.52</v>
      </c>
      <c r="Q6" s="1">
        <v>157.02000000000001</v>
      </c>
      <c r="R6" s="1">
        <v>108.4</v>
      </c>
    </row>
    <row r="7" spans="1:25" x14ac:dyDescent="0.2">
      <c r="A7" s="1">
        <v>6</v>
      </c>
      <c r="B7" t="s">
        <v>144</v>
      </c>
      <c r="C7" t="s">
        <v>40</v>
      </c>
      <c r="D7" s="1">
        <f t="shared" si="4"/>
        <v>9</v>
      </c>
      <c r="E7" s="1">
        <f t="shared" si="4"/>
        <v>6</v>
      </c>
      <c r="F7" s="1">
        <v>9</v>
      </c>
      <c r="G7" s="1">
        <v>4</v>
      </c>
      <c r="H7" s="1">
        <v>0</v>
      </c>
      <c r="I7" s="1">
        <v>2</v>
      </c>
      <c r="J7" s="1">
        <v>0</v>
      </c>
      <c r="K7" s="1">
        <v>1</v>
      </c>
      <c r="L7" s="1">
        <f t="shared" ref="L7" si="5">SUM(M7:N7)</f>
        <v>1804.5599999999997</v>
      </c>
      <c r="M7" s="1">
        <f>117.78+150.68+127.2+89.56+106.9+120.12+103.32+188.32+142.8+101.6+122.66+133.84+115.86</f>
        <v>1620.6399999999996</v>
      </c>
      <c r="N7" s="1">
        <f>98.2+85.72</f>
        <v>183.92000000000002</v>
      </c>
      <c r="O7" s="1">
        <v>188.32</v>
      </c>
      <c r="P7" s="1">
        <v>89.56</v>
      </c>
      <c r="Q7" s="1">
        <v>98.2</v>
      </c>
      <c r="R7" s="1">
        <v>85.72</v>
      </c>
    </row>
    <row r="8" spans="1:25" x14ac:dyDescent="0.2">
      <c r="A8" s="1">
        <v>7</v>
      </c>
      <c r="B8" t="s">
        <v>149</v>
      </c>
      <c r="C8" t="s">
        <v>142</v>
      </c>
      <c r="D8" s="1">
        <f t="shared" si="4"/>
        <v>4</v>
      </c>
      <c r="E8" s="1">
        <f t="shared" si="4"/>
        <v>11</v>
      </c>
      <c r="F8" s="1">
        <v>2</v>
      </c>
      <c r="G8" s="1">
        <v>11</v>
      </c>
      <c r="H8" s="1">
        <v>2</v>
      </c>
      <c r="I8" s="1">
        <v>0</v>
      </c>
      <c r="J8" s="1">
        <v>0</v>
      </c>
      <c r="K8" s="1">
        <v>1</v>
      </c>
      <c r="L8" s="1">
        <f t="shared" ref="L8" si="6">SUM(M8:N8)</f>
        <v>1359.02</v>
      </c>
      <c r="M8" s="1">
        <f>72.4+80.5+103.7+70.1+77.16+123.16+49.52+106.94+65.36+90.74+84.9+106.08+130.48</f>
        <v>1161.04</v>
      </c>
      <c r="N8" s="1">
        <f>95.3+102.68</f>
        <v>197.98000000000002</v>
      </c>
      <c r="O8" s="1">
        <v>130.47999999999999</v>
      </c>
      <c r="P8" s="1">
        <v>49.52</v>
      </c>
      <c r="Q8" s="1">
        <v>102.68</v>
      </c>
      <c r="R8" s="1">
        <v>95.3</v>
      </c>
    </row>
    <row r="9" spans="1:25" x14ac:dyDescent="0.2">
      <c r="A9" s="1">
        <v>8</v>
      </c>
      <c r="B9" s="37" t="s">
        <v>146</v>
      </c>
      <c r="C9" t="s">
        <v>147</v>
      </c>
      <c r="D9" s="1">
        <f t="shared" si="4"/>
        <v>3</v>
      </c>
      <c r="E9" s="1">
        <f t="shared" si="4"/>
        <v>12</v>
      </c>
      <c r="F9" s="1">
        <v>2</v>
      </c>
      <c r="G9" s="1">
        <v>11</v>
      </c>
      <c r="H9" s="1">
        <v>1</v>
      </c>
      <c r="I9" s="1">
        <v>1</v>
      </c>
      <c r="J9" s="1">
        <v>0</v>
      </c>
      <c r="K9" s="1">
        <v>1</v>
      </c>
      <c r="L9" s="1">
        <f>SUM(M9:N9)</f>
        <v>1213.6200000000003</v>
      </c>
      <c r="M9" s="1">
        <f>56.72+69.6+89.88+61.26+102.04+98.86+68.12+85.22+67.44+123.86+68.08+75.48+109.12</f>
        <v>1075.6800000000003</v>
      </c>
      <c r="N9" s="1">
        <f>88.78+49.16</f>
        <v>137.94</v>
      </c>
      <c r="O9" s="1">
        <v>123.86</v>
      </c>
      <c r="P9" s="1">
        <v>56.72</v>
      </c>
      <c r="Q9" s="1">
        <v>88.78</v>
      </c>
      <c r="R9" s="1">
        <v>49.16</v>
      </c>
    </row>
    <row r="10" spans="1:25" x14ac:dyDescent="0.2">
      <c r="A10" s="1">
        <v>9</v>
      </c>
      <c r="B10" t="s">
        <v>74</v>
      </c>
      <c r="C10" t="s">
        <v>76</v>
      </c>
      <c r="D10" s="1">
        <f t="shared" ref="D10:E10" si="7">SUM(F10,H10)</f>
        <v>6</v>
      </c>
      <c r="E10" s="1">
        <f t="shared" si="7"/>
        <v>9</v>
      </c>
      <c r="F10" s="1">
        <v>5</v>
      </c>
      <c r="G10" s="1">
        <v>8</v>
      </c>
      <c r="H10" s="1">
        <v>1</v>
      </c>
      <c r="I10" s="1">
        <v>1</v>
      </c>
      <c r="J10" s="1">
        <v>0</v>
      </c>
      <c r="K10" s="1">
        <v>1</v>
      </c>
      <c r="L10" s="1">
        <f>SUM(M10:N10)</f>
        <v>1415.6000000000004</v>
      </c>
      <c r="M10" s="1">
        <f>100.6+129.78+70.18+101.54+121.9+94.22+116.72+104.4+86.46+100.82+80.64+94.42+69.16</f>
        <v>1270.8400000000004</v>
      </c>
      <c r="N10" s="1">
        <f>56.24+88.52</f>
        <v>144.76</v>
      </c>
      <c r="O10" s="1">
        <v>129.78</v>
      </c>
      <c r="P10" s="1">
        <v>69.16</v>
      </c>
      <c r="Q10" s="1">
        <v>88.52</v>
      </c>
      <c r="R10" s="1">
        <v>56.24</v>
      </c>
    </row>
    <row r="11" spans="1:25" x14ac:dyDescent="0.2">
      <c r="A11" s="1">
        <v>10</v>
      </c>
      <c r="B11" t="s">
        <v>45</v>
      </c>
      <c r="C11" t="s">
        <v>13</v>
      </c>
      <c r="D11" s="1">
        <f t="shared" ref="D11:E11" si="8">SUM(F11,H11)</f>
        <v>4</v>
      </c>
      <c r="E11" s="1">
        <f t="shared" si="8"/>
        <v>11</v>
      </c>
      <c r="F11" s="1">
        <v>4</v>
      </c>
      <c r="G11" s="1">
        <v>9</v>
      </c>
      <c r="H11" s="1">
        <v>0</v>
      </c>
      <c r="I11" s="1">
        <v>2</v>
      </c>
      <c r="J11" s="1">
        <v>0</v>
      </c>
      <c r="K11" s="1">
        <v>1</v>
      </c>
      <c r="L11" s="1">
        <f>SUM(M11:N11)</f>
        <v>1391.9800000000005</v>
      </c>
      <c r="M11" s="1">
        <f>114.3+103.56+98.54+107.24+91.26+115.44+57.16+105.84+93.22+104.96+69.68+107.64+100.18</f>
        <v>1269.0200000000004</v>
      </c>
      <c r="N11" s="1">
        <f>70.12+52.84</f>
        <v>122.96000000000001</v>
      </c>
      <c r="O11" s="1">
        <v>115.44</v>
      </c>
      <c r="P11" s="1">
        <v>57.16</v>
      </c>
      <c r="Q11" s="1">
        <v>70.12</v>
      </c>
      <c r="R11" s="1">
        <v>52.84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16</v>
      </c>
      <c r="C2" t="s">
        <v>17</v>
      </c>
      <c r="D2" s="1">
        <f t="shared" ref="D2:E4" si="0">SUM(F2,H2)</f>
        <v>11</v>
      </c>
      <c r="E2" s="1">
        <f t="shared" si="0"/>
        <v>4</v>
      </c>
      <c r="F2" s="1">
        <v>9</v>
      </c>
      <c r="G2" s="1">
        <v>4</v>
      </c>
      <c r="H2" s="1">
        <v>2</v>
      </c>
      <c r="I2" s="1">
        <v>0</v>
      </c>
      <c r="J2" s="1">
        <v>1</v>
      </c>
      <c r="K2" s="1">
        <v>0</v>
      </c>
      <c r="L2" s="1">
        <f>SUM(M2:N2)</f>
        <v>2052.1799999999998</v>
      </c>
      <c r="M2" s="1">
        <f>185.96+111.74+110.9+195.24+118.74+105.1+111.38+110.9+116.48+136.38+88.84+117.36+198.74</f>
        <v>1707.76</v>
      </c>
      <c r="N2" s="1">
        <f>104.46+120.58+119.38</f>
        <v>344.41999999999996</v>
      </c>
      <c r="O2" s="1">
        <v>198.74</v>
      </c>
      <c r="P2" s="1">
        <v>88.84</v>
      </c>
      <c r="Q2" s="1">
        <v>120.58</v>
      </c>
      <c r="R2" s="1">
        <v>104.46</v>
      </c>
    </row>
    <row r="3" spans="1:25" x14ac:dyDescent="0.2">
      <c r="A3" s="1">
        <v>2</v>
      </c>
      <c r="B3" t="s">
        <v>50</v>
      </c>
      <c r="C3" t="s">
        <v>15</v>
      </c>
      <c r="D3" s="1">
        <f t="shared" si="0"/>
        <v>8</v>
      </c>
      <c r="E3" s="1">
        <f t="shared" si="0"/>
        <v>8</v>
      </c>
      <c r="F3" s="1">
        <v>6</v>
      </c>
      <c r="G3" s="1">
        <v>7</v>
      </c>
      <c r="H3" s="1">
        <v>2</v>
      </c>
      <c r="I3" s="1">
        <v>1</v>
      </c>
      <c r="J3" s="1">
        <v>0</v>
      </c>
      <c r="K3" s="1">
        <v>1</v>
      </c>
      <c r="L3" s="1">
        <f>SUM(M3:N3)</f>
        <v>1733.46</v>
      </c>
      <c r="M3" s="1">
        <f>110.6+94.66+107.7+122.06+99.78+92.76+76.94+85.22+130.76+84.46+106.58+108.7+145.44</f>
        <v>1365.66</v>
      </c>
      <c r="N3" s="1">
        <f>139.46+125.8+102.54</f>
        <v>367.8</v>
      </c>
      <c r="O3" s="1">
        <v>145.44</v>
      </c>
      <c r="P3" s="1">
        <v>76.94</v>
      </c>
      <c r="Q3" s="1">
        <v>139.46</v>
      </c>
      <c r="R3" s="1">
        <v>102.54</v>
      </c>
    </row>
    <row r="4" spans="1:25" x14ac:dyDescent="0.2">
      <c r="A4" s="1">
        <v>3</v>
      </c>
      <c r="B4" t="s">
        <v>32</v>
      </c>
      <c r="C4" t="s">
        <v>38</v>
      </c>
      <c r="D4" s="1">
        <f t="shared" si="0"/>
        <v>10</v>
      </c>
      <c r="E4" s="1">
        <f t="shared" si="0"/>
        <v>6</v>
      </c>
      <c r="F4" s="1">
        <v>8</v>
      </c>
      <c r="G4" s="1">
        <v>5</v>
      </c>
      <c r="H4" s="1">
        <v>2</v>
      </c>
      <c r="I4" s="1">
        <v>1</v>
      </c>
      <c r="J4" s="1">
        <v>0</v>
      </c>
      <c r="K4" s="1">
        <v>1</v>
      </c>
      <c r="L4" s="1">
        <f>SUM(M4:N4)</f>
        <v>1819.1799999999998</v>
      </c>
      <c r="M4" s="1">
        <f>122.14+116.28+95+126.82+125.56+145.78+121.64+99.42+136.36+77.42+132.68+92.88+75.3</f>
        <v>1467.28</v>
      </c>
      <c r="N4" s="1">
        <f>109.32+108.88+133.7</f>
        <v>351.9</v>
      </c>
      <c r="O4" s="1">
        <v>145.78</v>
      </c>
      <c r="P4" s="1">
        <v>75.3</v>
      </c>
      <c r="Q4" s="1">
        <v>133.69999999999999</v>
      </c>
      <c r="R4" s="1">
        <v>108.88</v>
      </c>
    </row>
    <row r="5" spans="1:25" x14ac:dyDescent="0.2">
      <c r="A5" s="1">
        <v>4</v>
      </c>
      <c r="B5" t="s">
        <v>125</v>
      </c>
      <c r="C5" t="s">
        <v>40</v>
      </c>
      <c r="D5" s="1">
        <f t="shared" ref="D5:E6" si="1">SUM(F5,H5)</f>
        <v>10</v>
      </c>
      <c r="E5" s="1">
        <f t="shared" si="1"/>
        <v>5</v>
      </c>
      <c r="F5" s="1">
        <v>10</v>
      </c>
      <c r="G5" s="1">
        <v>3</v>
      </c>
      <c r="H5" s="1">
        <v>0</v>
      </c>
      <c r="I5" s="1">
        <v>2</v>
      </c>
      <c r="J5" s="1">
        <v>0</v>
      </c>
      <c r="K5" s="1">
        <v>1</v>
      </c>
      <c r="L5" s="1">
        <f t="shared" ref="L5" si="2">SUM(M5:N5)</f>
        <v>1950.66</v>
      </c>
      <c r="M5" s="1">
        <f>90.32+140.82+149.02+116.7+107.88+110.28+148.92+156.76+131.18+136.02+157.68+86.48+106.4</f>
        <v>1638.46</v>
      </c>
      <c r="N5" s="1">
        <f>89+94.32+128.88</f>
        <v>312.2</v>
      </c>
      <c r="O5" s="1">
        <v>157.68</v>
      </c>
      <c r="P5" s="1">
        <v>86.48</v>
      </c>
      <c r="Q5" s="1">
        <v>128.88</v>
      </c>
      <c r="R5" s="1">
        <v>89</v>
      </c>
    </row>
    <row r="6" spans="1:25" x14ac:dyDescent="0.2">
      <c r="A6" s="1">
        <v>5</v>
      </c>
      <c r="B6" t="s">
        <v>45</v>
      </c>
      <c r="C6" t="s">
        <v>13</v>
      </c>
      <c r="D6" s="1">
        <f t="shared" si="1"/>
        <v>10</v>
      </c>
      <c r="E6" s="1">
        <f t="shared" si="1"/>
        <v>5</v>
      </c>
      <c r="F6" s="1">
        <v>9</v>
      </c>
      <c r="G6" s="1">
        <v>4</v>
      </c>
      <c r="H6" s="1">
        <v>1</v>
      </c>
      <c r="I6" s="1">
        <v>1</v>
      </c>
      <c r="J6" s="1">
        <v>0</v>
      </c>
      <c r="K6" s="1">
        <v>1</v>
      </c>
      <c r="L6" s="1">
        <f>SUM(M6:N6)</f>
        <v>1842.8999999999999</v>
      </c>
      <c r="M6" s="1">
        <f>107.2+138.22+102.44+95.3+127.18+112.66+97.38+100.18+109.12+109.34+100.34+117.32+117.44</f>
        <v>1434.12</v>
      </c>
      <c r="N6" s="1">
        <f>101.8+181.06+125.92</f>
        <v>408.78000000000003</v>
      </c>
      <c r="O6" s="1">
        <v>138.22</v>
      </c>
      <c r="P6" s="1">
        <v>95.3</v>
      </c>
      <c r="Q6" s="1">
        <v>181.06</v>
      </c>
      <c r="R6" s="1">
        <v>101.8</v>
      </c>
    </row>
    <row r="7" spans="1:25" x14ac:dyDescent="0.2">
      <c r="A7" s="1">
        <v>6</v>
      </c>
      <c r="B7" t="s">
        <v>141</v>
      </c>
      <c r="C7" t="s">
        <v>142</v>
      </c>
      <c r="D7" s="1">
        <f t="shared" ref="D7:E7" si="3">SUM(F7,H7)</f>
        <v>9</v>
      </c>
      <c r="E7" s="1">
        <f t="shared" si="3"/>
        <v>6</v>
      </c>
      <c r="F7" s="1">
        <v>9</v>
      </c>
      <c r="G7" s="1">
        <v>4</v>
      </c>
      <c r="H7" s="1">
        <v>0</v>
      </c>
      <c r="I7" s="1">
        <v>2</v>
      </c>
      <c r="J7" s="1">
        <v>0</v>
      </c>
      <c r="K7" s="1">
        <v>1</v>
      </c>
      <c r="L7" s="1">
        <f t="shared" ref="L7" si="4">SUM(M7:N7)</f>
        <v>1710.9</v>
      </c>
      <c r="M7" s="1">
        <f>122.26+99.92+87.74+171.76+119.54+105.08+101.64+107.62+98.26+127.68+67.22+82.3+76.5</f>
        <v>1367.52</v>
      </c>
      <c r="N7" s="1">
        <f>100.6+138.16+104.62</f>
        <v>343.38</v>
      </c>
      <c r="O7" s="1">
        <v>171.76</v>
      </c>
      <c r="P7" s="1">
        <v>67.22</v>
      </c>
      <c r="Q7" s="1">
        <v>138.16</v>
      </c>
      <c r="R7" s="1">
        <v>100.6</v>
      </c>
    </row>
    <row r="8" spans="1:25" x14ac:dyDescent="0.2">
      <c r="A8" s="1">
        <v>7</v>
      </c>
      <c r="B8" s="30" t="s">
        <v>140</v>
      </c>
      <c r="C8" t="s">
        <v>61</v>
      </c>
      <c r="D8" s="1">
        <f>SUM(F8,H8)</f>
        <v>5</v>
      </c>
      <c r="E8" s="1">
        <f>SUM(G8,I8)</f>
        <v>10</v>
      </c>
      <c r="F8" s="1">
        <v>3</v>
      </c>
      <c r="G8" s="1">
        <v>10</v>
      </c>
      <c r="H8" s="1">
        <v>2</v>
      </c>
      <c r="I8" s="1">
        <v>0</v>
      </c>
      <c r="J8" s="1">
        <v>0</v>
      </c>
      <c r="K8" s="1">
        <v>1</v>
      </c>
      <c r="L8" s="1">
        <f>SUM(M8:N8)</f>
        <v>1583.2400000000002</v>
      </c>
      <c r="M8" s="1">
        <f>103.58+153.36+96.22+86.44+106.88+86.3+105.82+98.48+99.86+69.58+105.46+72.88+87.46</f>
        <v>1272.3200000000002</v>
      </c>
      <c r="N8" s="1">
        <f>102.22+114.94+93.76</f>
        <v>310.92</v>
      </c>
      <c r="O8" s="1">
        <v>153.36000000000001</v>
      </c>
      <c r="P8" s="1">
        <v>69.58</v>
      </c>
      <c r="Q8" s="1">
        <v>114.94</v>
      </c>
      <c r="R8" s="1">
        <v>93.76</v>
      </c>
    </row>
    <row r="9" spans="1:25" x14ac:dyDescent="0.2">
      <c r="A9" s="1">
        <v>8</v>
      </c>
      <c r="B9" t="s">
        <v>138</v>
      </c>
      <c r="C9" t="s">
        <v>19</v>
      </c>
      <c r="D9" s="1">
        <f t="shared" ref="D9:E9" si="5">SUM(F9,H9)</f>
        <v>7</v>
      </c>
      <c r="E9" s="1">
        <f t="shared" si="5"/>
        <v>8</v>
      </c>
      <c r="F9" s="1">
        <v>6</v>
      </c>
      <c r="G9" s="1">
        <v>7</v>
      </c>
      <c r="H9" s="1">
        <v>1</v>
      </c>
      <c r="I9" s="1">
        <v>1</v>
      </c>
      <c r="J9" s="1">
        <v>0</v>
      </c>
      <c r="K9" s="1">
        <v>1</v>
      </c>
      <c r="L9" s="1">
        <f t="shared" ref="L9" si="6">SUM(M9:N9)</f>
        <v>1603.56</v>
      </c>
      <c r="M9" s="1">
        <f>102.98+130.94+111.9+94.78+126.24+109.22+101.14+83+65.1+49.6+90.92+106.08+112.86</f>
        <v>1284.76</v>
      </c>
      <c r="N9" s="1">
        <f>125.92+121.28+71.6</f>
        <v>318.79999999999995</v>
      </c>
      <c r="O9" s="1">
        <v>130.94</v>
      </c>
      <c r="P9" s="1">
        <v>49.6</v>
      </c>
      <c r="Q9" s="1">
        <v>125.92</v>
      </c>
      <c r="R9" s="1">
        <v>71.599999999999994</v>
      </c>
    </row>
    <row r="10" spans="1:25" x14ac:dyDescent="0.2">
      <c r="A10" s="1">
        <v>9</v>
      </c>
      <c r="B10" t="s">
        <v>127</v>
      </c>
      <c r="C10" t="s">
        <v>77</v>
      </c>
      <c r="D10" s="1">
        <f>SUM(F10,H10)</f>
        <v>3</v>
      </c>
      <c r="E10" s="1">
        <f>SUM(G10,I10)</f>
        <v>12</v>
      </c>
      <c r="F10" s="1">
        <v>2</v>
      </c>
      <c r="G10" s="1">
        <v>11</v>
      </c>
      <c r="H10" s="1">
        <v>1</v>
      </c>
      <c r="I10" s="1">
        <v>1</v>
      </c>
      <c r="J10" s="1">
        <v>0</v>
      </c>
      <c r="K10" s="1">
        <v>1</v>
      </c>
      <c r="L10" s="1">
        <f>SUM(M10:N10)</f>
        <v>1483.2199999999998</v>
      </c>
      <c r="M10" s="1">
        <f>111.84+93.6+45.22+78.36+79.22+72.98+86.32+96.86+106.54+116.18+73.16+92.58+117.32</f>
        <v>1170.1799999999998</v>
      </c>
      <c r="N10" s="1">
        <f>112.82+85.8+114.42</f>
        <v>313.04000000000002</v>
      </c>
      <c r="O10" s="1">
        <v>117.32</v>
      </c>
      <c r="P10" s="1">
        <v>45.22</v>
      </c>
      <c r="Q10" s="1">
        <v>114.42</v>
      </c>
      <c r="R10" s="1">
        <v>85.8</v>
      </c>
    </row>
    <row r="11" spans="1:25" x14ac:dyDescent="0.2">
      <c r="A11" s="1">
        <v>10</v>
      </c>
      <c r="B11" t="s">
        <v>74</v>
      </c>
      <c r="C11" t="s">
        <v>76</v>
      </c>
      <c r="D11" s="1">
        <f t="shared" ref="D11:E11" si="7">SUM(F11,H11)</f>
        <v>3</v>
      </c>
      <c r="E11" s="1">
        <f t="shared" si="7"/>
        <v>12</v>
      </c>
      <c r="F11" s="1">
        <v>3</v>
      </c>
      <c r="G11" s="1">
        <v>10</v>
      </c>
      <c r="H11" s="1">
        <v>0</v>
      </c>
      <c r="I11" s="1">
        <v>2</v>
      </c>
      <c r="J11" s="1">
        <v>0</v>
      </c>
      <c r="K11" s="1">
        <v>1</v>
      </c>
      <c r="L11" s="1">
        <f>SUM(M11:N11)</f>
        <v>1375.52</v>
      </c>
      <c r="M11" s="1">
        <f>104.02+95.42+73.54+87.22+93.86+56.9+86.9+92.68+117.06+76.5+72.1+98.18+96.12</f>
        <v>1150.5</v>
      </c>
      <c r="N11" s="1">
        <f>97.66+64.12+63.24</f>
        <v>225.02</v>
      </c>
      <c r="O11" s="1">
        <v>117.06</v>
      </c>
      <c r="P11" s="1">
        <v>56.9</v>
      </c>
      <c r="Q11" s="1">
        <v>97.66</v>
      </c>
      <c r="R11" s="1">
        <v>63.24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50</v>
      </c>
      <c r="C2" t="s">
        <v>15</v>
      </c>
      <c r="D2" s="1">
        <f>SUM(F2,H2)</f>
        <v>15</v>
      </c>
      <c r="E2" s="1">
        <f>SUM(G2,I2)</f>
        <v>2</v>
      </c>
      <c r="F2" s="1">
        <v>12</v>
      </c>
      <c r="G2" s="1">
        <v>2</v>
      </c>
      <c r="H2" s="1">
        <v>3</v>
      </c>
      <c r="I2" s="1">
        <v>0</v>
      </c>
      <c r="J2" s="1">
        <v>1</v>
      </c>
      <c r="K2" s="1">
        <v>0</v>
      </c>
      <c r="L2" s="1">
        <f>SUM(M2:N2)</f>
        <v>1715.8800000000003</v>
      </c>
      <c r="M2" s="1">
        <f>119.47+81.02+86.48+93.86+72.49+106.25+66.47+97.97+122.39+72.02+93.51+129.65+90.39+117.88</f>
        <v>1349.8500000000004</v>
      </c>
      <c r="N2" s="1">
        <f>108.42+133.32+124.29</f>
        <v>366.03000000000003</v>
      </c>
      <c r="O2" s="1">
        <v>129.65</v>
      </c>
      <c r="P2" s="1">
        <v>66.47</v>
      </c>
      <c r="Q2" s="1">
        <v>124.29</v>
      </c>
      <c r="R2" s="1">
        <v>108.42</v>
      </c>
    </row>
    <row r="3" spans="1:25" x14ac:dyDescent="0.2">
      <c r="A3" s="1">
        <v>2</v>
      </c>
      <c r="B3" t="s">
        <v>45</v>
      </c>
      <c r="C3" t="s">
        <v>13</v>
      </c>
      <c r="D3" s="1">
        <f t="shared" ref="D3:E3" si="0">SUM(F3,H3)</f>
        <v>8</v>
      </c>
      <c r="E3" s="1">
        <f t="shared" si="0"/>
        <v>9</v>
      </c>
      <c r="F3" s="1">
        <v>6</v>
      </c>
      <c r="G3" s="1">
        <v>8</v>
      </c>
      <c r="H3" s="1">
        <v>2</v>
      </c>
      <c r="I3" s="1">
        <v>1</v>
      </c>
      <c r="J3" s="1">
        <v>0</v>
      </c>
      <c r="K3" s="1">
        <v>1</v>
      </c>
      <c r="L3" s="1">
        <f>SUM(M3:N3)</f>
        <v>1540.19</v>
      </c>
      <c r="M3" s="1">
        <f>99.07+67.4+101.42+85.74+93.22+77.11+81.68+93.67+66.63+108.71+92.28+78.25+101.55+94.84</f>
        <v>1241.57</v>
      </c>
      <c r="N3" s="1">
        <f>83.76+123.43+91.43</f>
        <v>298.62</v>
      </c>
      <c r="O3" s="1">
        <v>108.71</v>
      </c>
      <c r="P3" s="1">
        <v>66.63</v>
      </c>
      <c r="Q3" s="1">
        <v>123.43</v>
      </c>
      <c r="R3" s="1">
        <v>83.76</v>
      </c>
    </row>
    <row r="4" spans="1:25" x14ac:dyDescent="0.2">
      <c r="A4" s="1">
        <v>3</v>
      </c>
      <c r="B4" t="s">
        <v>138</v>
      </c>
      <c r="C4" t="s">
        <v>19</v>
      </c>
      <c r="D4" s="1">
        <f t="shared" ref="D4" si="1">SUM(F4,H4)</f>
        <v>9</v>
      </c>
      <c r="E4" s="1">
        <f t="shared" ref="E4" si="2">SUM(G4,I4)</f>
        <v>8</v>
      </c>
      <c r="F4" s="1">
        <v>7</v>
      </c>
      <c r="G4" s="1">
        <v>7</v>
      </c>
      <c r="H4" s="1">
        <v>2</v>
      </c>
      <c r="I4" s="1">
        <v>1</v>
      </c>
      <c r="J4" s="1">
        <v>0</v>
      </c>
      <c r="K4" s="1">
        <v>1</v>
      </c>
      <c r="L4" s="1">
        <f t="shared" ref="L4" si="3">SUM(M4:N4)</f>
        <v>1518.47</v>
      </c>
      <c r="M4" s="1">
        <f>79.68+72.84+68.01+129.34+80.88+114.39+94.45+97.61+98.67+64.72+89.85+64.56+78.46+90.51</f>
        <v>1223.97</v>
      </c>
      <c r="N4" s="1">
        <f>104.22+109.97+80.31</f>
        <v>294.5</v>
      </c>
      <c r="O4" s="1">
        <v>129.34</v>
      </c>
      <c r="P4" s="1">
        <v>64.56</v>
      </c>
      <c r="Q4" s="1">
        <v>109.97</v>
      </c>
      <c r="R4" s="1">
        <v>80.31</v>
      </c>
    </row>
    <row r="5" spans="1:25" x14ac:dyDescent="0.2">
      <c r="A5" s="1">
        <v>4</v>
      </c>
      <c r="B5" t="s">
        <v>74</v>
      </c>
      <c r="C5" t="s">
        <v>76</v>
      </c>
      <c r="D5" s="1">
        <f t="shared" ref="D5:E7" si="4">SUM(F5,H5)</f>
        <v>7</v>
      </c>
      <c r="E5" s="1">
        <f t="shared" si="4"/>
        <v>10</v>
      </c>
      <c r="F5" s="1">
        <v>6</v>
      </c>
      <c r="G5" s="1">
        <v>8</v>
      </c>
      <c r="H5" s="1">
        <v>1</v>
      </c>
      <c r="I5" s="1">
        <v>2</v>
      </c>
      <c r="J5" s="1">
        <v>0</v>
      </c>
      <c r="K5" s="1">
        <v>1</v>
      </c>
      <c r="L5" s="1">
        <f>SUM(M5:N5)</f>
        <v>1312.69</v>
      </c>
      <c r="M5" s="1">
        <f>73.04+112.26+74.63+73.17+64.04+91.38+82.3+61.41+93.27+125.55+67.35+72.32+57.16+69.77</f>
        <v>1117.6500000000001</v>
      </c>
      <c r="N5" s="1">
        <f>83.47+57.07+54.5</f>
        <v>195.04</v>
      </c>
      <c r="O5" s="1">
        <v>125.55</v>
      </c>
      <c r="P5" s="1">
        <v>57.16</v>
      </c>
      <c r="Q5" s="1">
        <v>83.47</v>
      </c>
      <c r="R5" s="1">
        <v>54.5</v>
      </c>
    </row>
    <row r="6" spans="1:25" x14ac:dyDescent="0.2">
      <c r="A6" s="1">
        <v>5</v>
      </c>
      <c r="B6" t="s">
        <v>16</v>
      </c>
      <c r="C6" t="s">
        <v>17</v>
      </c>
      <c r="D6" s="1">
        <f t="shared" si="4"/>
        <v>7</v>
      </c>
      <c r="E6" s="1">
        <f t="shared" si="4"/>
        <v>10</v>
      </c>
      <c r="F6" s="1">
        <v>5</v>
      </c>
      <c r="G6" s="1">
        <v>9</v>
      </c>
      <c r="H6" s="1">
        <v>2</v>
      </c>
      <c r="I6" s="1">
        <v>1</v>
      </c>
      <c r="J6" s="1">
        <v>0</v>
      </c>
      <c r="K6" s="1">
        <v>1</v>
      </c>
      <c r="L6" s="1">
        <f>SUM(M6:N6)</f>
        <v>1501.58</v>
      </c>
      <c r="M6" s="1">
        <f>91.23+90.01+82.6+76.12+69.73+106.05+84.96+80.53+75.57+71.64+123.77+83.89+75.29+97.04</f>
        <v>1208.4299999999998</v>
      </c>
      <c r="N6" s="1">
        <f>95.51+90.4+107.24</f>
        <v>293.15000000000003</v>
      </c>
      <c r="O6" s="1">
        <v>123.77</v>
      </c>
      <c r="P6" s="1">
        <v>69.73</v>
      </c>
      <c r="Q6" s="1">
        <v>107.24</v>
      </c>
      <c r="R6" s="1">
        <v>90.4</v>
      </c>
    </row>
    <row r="7" spans="1:25" x14ac:dyDescent="0.2">
      <c r="A7" s="1">
        <v>6</v>
      </c>
      <c r="B7" t="s">
        <v>32</v>
      </c>
      <c r="C7" t="s">
        <v>38</v>
      </c>
      <c r="D7" s="1">
        <f t="shared" si="4"/>
        <v>10</v>
      </c>
      <c r="E7" s="1">
        <f t="shared" si="4"/>
        <v>7</v>
      </c>
      <c r="F7" s="1">
        <v>9</v>
      </c>
      <c r="G7" s="1">
        <v>5</v>
      </c>
      <c r="H7" s="1">
        <v>1</v>
      </c>
      <c r="I7" s="1">
        <v>2</v>
      </c>
      <c r="J7" s="1">
        <v>0</v>
      </c>
      <c r="K7" s="1">
        <v>1</v>
      </c>
      <c r="L7" s="1">
        <f>SUM(M7:N7)</f>
        <v>1463.32</v>
      </c>
      <c r="M7" s="1">
        <f>94.34+106.6+103.45+102.72+106.22+93.34+72.89+49.77+94.29+93.1+61.63+78.29+65.63+96.1</f>
        <v>1218.3699999999999</v>
      </c>
      <c r="N7" s="1">
        <f>59.76+91.13+94.06</f>
        <v>244.95</v>
      </c>
      <c r="O7" s="1">
        <v>106.6</v>
      </c>
      <c r="P7" s="1">
        <v>49.77</v>
      </c>
      <c r="Q7" s="1">
        <v>94.06</v>
      </c>
      <c r="R7" s="1">
        <v>59.76</v>
      </c>
    </row>
    <row r="8" spans="1:25" x14ac:dyDescent="0.2">
      <c r="A8" s="1">
        <v>7</v>
      </c>
      <c r="B8" t="s">
        <v>125</v>
      </c>
      <c r="C8" t="s">
        <v>40</v>
      </c>
      <c r="D8" s="1">
        <f t="shared" ref="D8:E8" si="5">SUM(F8,H8)</f>
        <v>12</v>
      </c>
      <c r="E8" s="1">
        <f t="shared" si="5"/>
        <v>5</v>
      </c>
      <c r="F8" s="1">
        <v>11</v>
      </c>
      <c r="G8" s="1">
        <v>3</v>
      </c>
      <c r="H8" s="1">
        <v>1</v>
      </c>
      <c r="I8" s="1">
        <v>2</v>
      </c>
      <c r="J8" s="1">
        <v>0</v>
      </c>
      <c r="K8" s="1">
        <v>1</v>
      </c>
      <c r="L8" s="1">
        <f t="shared" ref="L8" si="6">SUM(M8:N8)</f>
        <v>1609.9499999999998</v>
      </c>
      <c r="M8" s="1">
        <f>110.68+120.1+81.86+127.71+80.93+71.97+86.63+96.89+73.42+107.19+90.37+98.29+78.14+104.86</f>
        <v>1329.04</v>
      </c>
      <c r="N8" s="1">
        <f>79.19+87.95+113.77</f>
        <v>280.90999999999997</v>
      </c>
      <c r="O8" s="1">
        <v>127.71</v>
      </c>
      <c r="P8" s="1">
        <v>71.97</v>
      </c>
      <c r="Q8" s="1">
        <v>113.77</v>
      </c>
      <c r="R8" s="1">
        <v>79.19</v>
      </c>
    </row>
    <row r="9" spans="1:25" x14ac:dyDescent="0.2">
      <c r="A9" s="1">
        <v>8</v>
      </c>
      <c r="B9" s="30" t="s">
        <v>140</v>
      </c>
      <c r="C9" t="s">
        <v>61</v>
      </c>
      <c r="D9" s="1">
        <f t="shared" ref="D9:E9" si="7">SUM(F9,H9)</f>
        <v>7</v>
      </c>
      <c r="E9" s="1">
        <f t="shared" si="7"/>
        <v>10</v>
      </c>
      <c r="F9" s="1">
        <v>7</v>
      </c>
      <c r="G9" s="1">
        <v>7</v>
      </c>
      <c r="H9" s="1">
        <v>0</v>
      </c>
      <c r="I9" s="1">
        <v>3</v>
      </c>
      <c r="J9" s="1">
        <v>0</v>
      </c>
      <c r="K9" s="1">
        <v>1</v>
      </c>
      <c r="L9" s="1">
        <f>SUM(M9:N9)</f>
        <v>1503.1200000000003</v>
      </c>
      <c r="M9" s="1">
        <f>82.88+54.21+74.12+90.96+104.43+99.18+92.17+73.62+112.82+117.68+59.83+87.4+139.17+64.68</f>
        <v>1253.1500000000003</v>
      </c>
      <c r="N9" s="1">
        <f>85.05+89.58+75.34</f>
        <v>249.97</v>
      </c>
      <c r="O9" s="1">
        <v>104.43</v>
      </c>
      <c r="P9" s="1">
        <v>54.21</v>
      </c>
      <c r="Q9" s="1">
        <v>89.58</v>
      </c>
      <c r="R9" s="1">
        <v>75.34</v>
      </c>
    </row>
    <row r="10" spans="1:25" x14ac:dyDescent="0.2">
      <c r="A10" s="1">
        <v>9</v>
      </c>
      <c r="B10" t="s">
        <v>136</v>
      </c>
      <c r="C10" t="s">
        <v>137</v>
      </c>
      <c r="D10" s="1">
        <f t="shared" ref="D10:E10" si="8">SUM(F10,H10)</f>
        <v>5</v>
      </c>
      <c r="E10" s="1">
        <f t="shared" si="8"/>
        <v>9</v>
      </c>
      <c r="F10" s="1">
        <v>5</v>
      </c>
      <c r="G10" s="1">
        <v>9</v>
      </c>
      <c r="H10" s="1">
        <v>0</v>
      </c>
      <c r="I10" s="1">
        <v>0</v>
      </c>
      <c r="J10" s="1">
        <v>0</v>
      </c>
      <c r="K10" s="1">
        <v>1</v>
      </c>
      <c r="L10" s="1">
        <f>SUM(M10:N10)</f>
        <v>1085.47</v>
      </c>
      <c r="M10" s="1">
        <f>81.8+79.54+56.47+120.08+104.72+65.43+113.08+41.14+24.84+71.22+102.63+109.14+57.31+58.07</f>
        <v>1085.47</v>
      </c>
      <c r="N10" s="1" t="s">
        <v>27</v>
      </c>
      <c r="O10" s="1">
        <v>120.08</v>
      </c>
      <c r="P10" s="1">
        <v>24.84</v>
      </c>
      <c r="Q10" s="1" t="s">
        <v>27</v>
      </c>
      <c r="R10" s="1" t="s">
        <v>27</v>
      </c>
    </row>
    <row r="11" spans="1:25" x14ac:dyDescent="0.2">
      <c r="A11" s="1">
        <v>10</v>
      </c>
      <c r="B11" t="s">
        <v>139</v>
      </c>
      <c r="C11" t="s">
        <v>111</v>
      </c>
      <c r="D11" s="1">
        <f t="shared" ref="D11:E11" si="9">SUM(F11,H11)</f>
        <v>2</v>
      </c>
      <c r="E11" s="1">
        <f t="shared" si="9"/>
        <v>12</v>
      </c>
      <c r="F11" s="1">
        <v>2</v>
      </c>
      <c r="G11" s="1">
        <v>12</v>
      </c>
      <c r="H11" s="1">
        <v>0</v>
      </c>
      <c r="I11" s="1">
        <v>0</v>
      </c>
      <c r="J11" s="1">
        <v>0</v>
      </c>
      <c r="K11" s="1">
        <v>1</v>
      </c>
      <c r="L11" s="1">
        <f t="shared" ref="L11" si="10">SUM(M11:N11)</f>
        <v>939.06</v>
      </c>
      <c r="M11" s="1">
        <f>78+105.86+64.41+84.21+89.45+54.78+41.15+47.28+71.45+52.43+71.06+51.95+58.76+68.27</f>
        <v>939.06</v>
      </c>
      <c r="N11" s="1" t="s">
        <v>27</v>
      </c>
      <c r="O11" s="1">
        <v>105.86</v>
      </c>
      <c r="P11" s="1">
        <v>41.15</v>
      </c>
      <c r="Q11" s="1" t="s">
        <v>27</v>
      </c>
      <c r="R11" s="1" t="s">
        <v>27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127</v>
      </c>
      <c r="C2" t="s">
        <v>77</v>
      </c>
      <c r="D2" s="1">
        <f t="shared" ref="D2:E2" si="0">SUM(F2,H2)</f>
        <v>11</v>
      </c>
      <c r="E2" s="1">
        <f t="shared" si="0"/>
        <v>6</v>
      </c>
      <c r="F2" s="1">
        <v>8</v>
      </c>
      <c r="G2" s="1">
        <v>6</v>
      </c>
      <c r="H2" s="1">
        <v>3</v>
      </c>
      <c r="I2" s="1">
        <v>0</v>
      </c>
      <c r="J2" s="1">
        <v>1</v>
      </c>
      <c r="K2" s="1">
        <v>0</v>
      </c>
      <c r="L2" s="1">
        <f t="shared" ref="L2" si="1">SUM(M2:N2)</f>
        <v>1674.39</v>
      </c>
      <c r="M2" s="1">
        <f>109.36+86.08+85.95+119.83+85.61+84.86+65.76+110.9+92.61+87.95+106.22+91.14+100.26+105.89</f>
        <v>1332.42</v>
      </c>
      <c r="N2" s="1">
        <f>109.88+92.29+139.8</f>
        <v>341.97</v>
      </c>
      <c r="O2" s="1">
        <v>119.83</v>
      </c>
      <c r="P2" s="1">
        <v>65.760000000000005</v>
      </c>
      <c r="Q2" s="1">
        <v>139.80000000000001</v>
      </c>
      <c r="R2" s="1">
        <v>92.29</v>
      </c>
    </row>
    <row r="3" spans="1:25" x14ac:dyDescent="0.2">
      <c r="A3" s="1">
        <v>2</v>
      </c>
      <c r="B3" t="s">
        <v>16</v>
      </c>
      <c r="C3" t="s">
        <v>17</v>
      </c>
      <c r="D3" s="1">
        <f>SUM(F3,H3)</f>
        <v>11</v>
      </c>
      <c r="E3" s="1">
        <f>SUM(G3,I3)</f>
        <v>6</v>
      </c>
      <c r="F3" s="1">
        <v>9</v>
      </c>
      <c r="G3" s="1">
        <v>5</v>
      </c>
      <c r="H3" s="1">
        <v>2</v>
      </c>
      <c r="I3" s="1">
        <v>1</v>
      </c>
      <c r="J3" s="1">
        <v>0</v>
      </c>
      <c r="K3" s="1">
        <v>1</v>
      </c>
      <c r="L3" s="1">
        <f>SUM(M3:N3)</f>
        <v>1529.87</v>
      </c>
      <c r="M3" s="1">
        <f>107.61+67.46+73+85.17+86.21+67.2+96.67+104.22+101.57+93.01+52.21+75.35+122.5+91.41</f>
        <v>1223.5899999999999</v>
      </c>
      <c r="N3" s="1">
        <f>106.13+90.56+109.59</f>
        <v>306.27999999999997</v>
      </c>
      <c r="O3" s="1">
        <v>122.5</v>
      </c>
      <c r="P3" s="1">
        <v>52.21</v>
      </c>
      <c r="Q3" s="1">
        <v>109.59</v>
      </c>
      <c r="R3" s="1">
        <v>90.56</v>
      </c>
    </row>
    <row r="4" spans="1:25" x14ac:dyDescent="0.2">
      <c r="A4" s="1">
        <v>3</v>
      </c>
      <c r="B4" t="s">
        <v>45</v>
      </c>
      <c r="C4" t="s">
        <v>13</v>
      </c>
      <c r="D4" s="1">
        <f t="shared" ref="D4:E4" si="2">SUM(F4,H4)</f>
        <v>7</v>
      </c>
      <c r="E4" s="1">
        <f t="shared" si="2"/>
        <v>10</v>
      </c>
      <c r="F4" s="1">
        <v>5</v>
      </c>
      <c r="G4" s="1">
        <v>9</v>
      </c>
      <c r="H4" s="1">
        <v>2</v>
      </c>
      <c r="I4" s="1">
        <v>1</v>
      </c>
      <c r="J4" s="1">
        <v>0</v>
      </c>
      <c r="K4" s="1">
        <v>1</v>
      </c>
      <c r="L4" s="1">
        <f t="shared" ref="L4" si="3">SUM(M4:N4)</f>
        <v>1452.35</v>
      </c>
      <c r="M4" s="1">
        <f>66.37+123.05+93.53+100.56+73.13+77.85+112.65+94.18+62.68+76.4+95.22+80.25+67.39+108.05</f>
        <v>1231.31</v>
      </c>
      <c r="N4" s="1">
        <f>81.93+64.1+75.01</f>
        <v>221.04000000000002</v>
      </c>
      <c r="O4" s="1">
        <v>123.05</v>
      </c>
      <c r="P4" s="1">
        <v>62.68</v>
      </c>
      <c r="Q4" s="1">
        <v>81.93</v>
      </c>
      <c r="R4" s="1">
        <v>64.099999999999994</v>
      </c>
    </row>
    <row r="5" spans="1:25" x14ac:dyDescent="0.2">
      <c r="A5" s="1">
        <v>4</v>
      </c>
      <c r="B5" s="30" t="s">
        <v>135</v>
      </c>
      <c r="C5" t="s">
        <v>61</v>
      </c>
      <c r="D5" s="1">
        <f>SUM(F5,H5)</f>
        <v>7</v>
      </c>
      <c r="E5" s="1">
        <f>SUM(G5,I5)</f>
        <v>10</v>
      </c>
      <c r="F5" s="1">
        <v>6</v>
      </c>
      <c r="G5" s="1">
        <v>8</v>
      </c>
      <c r="H5" s="1">
        <v>1</v>
      </c>
      <c r="I5" s="1">
        <v>2</v>
      </c>
      <c r="J5" s="1">
        <v>0</v>
      </c>
      <c r="K5" s="1">
        <v>1</v>
      </c>
      <c r="L5" s="1">
        <f t="shared" ref="L5:L10" si="4">SUM(M5:N5)</f>
        <v>1529.7199999999998</v>
      </c>
      <c r="M5" s="1">
        <f>85.88+87.75+91.9+80.17+89.52+103.94+81.33+71.95+88.37+111.62+86.51+101.86+119.21+89.09</f>
        <v>1289.0999999999999</v>
      </c>
      <c r="N5" s="1">
        <f>96.3+72.39+71.93</f>
        <v>240.62</v>
      </c>
      <c r="O5" s="1">
        <v>119.21</v>
      </c>
      <c r="P5" s="1">
        <v>71.95</v>
      </c>
      <c r="Q5" s="1">
        <v>96.3</v>
      </c>
      <c r="R5" s="1">
        <v>71.930000000000007</v>
      </c>
    </row>
    <row r="6" spans="1:25" x14ac:dyDescent="0.2">
      <c r="A6" s="1">
        <v>5</v>
      </c>
      <c r="B6" t="s">
        <v>50</v>
      </c>
      <c r="C6" t="s">
        <v>15</v>
      </c>
      <c r="D6" s="1">
        <f>SUM(F6,H6)</f>
        <v>13</v>
      </c>
      <c r="E6" s="1">
        <f>SUM(G6,I6)</f>
        <v>4</v>
      </c>
      <c r="F6" s="1">
        <v>11</v>
      </c>
      <c r="G6" s="1">
        <v>3</v>
      </c>
      <c r="H6" s="1">
        <v>2</v>
      </c>
      <c r="I6" s="1">
        <v>1</v>
      </c>
      <c r="J6" s="1">
        <v>0</v>
      </c>
      <c r="K6" s="1">
        <v>1</v>
      </c>
      <c r="L6" s="1">
        <f t="shared" si="4"/>
        <v>1893.1699999999998</v>
      </c>
      <c r="M6" s="1">
        <f>144.33+79.14+142.45+134.63+83.84+118.06+93.65+122.27+101.41+100.14+93.2+108.84+129.33+130.1</f>
        <v>1581.3899999999999</v>
      </c>
      <c r="N6" s="1">
        <f>79.95+122.24+109.59</f>
        <v>311.77999999999997</v>
      </c>
      <c r="O6" s="1">
        <v>142.44999999999999</v>
      </c>
      <c r="P6" s="1">
        <v>79.14</v>
      </c>
      <c r="Q6" s="1">
        <v>122.24</v>
      </c>
      <c r="R6" s="1">
        <v>79.95</v>
      </c>
    </row>
    <row r="7" spans="1:25" x14ac:dyDescent="0.2">
      <c r="A7" s="1">
        <v>6</v>
      </c>
      <c r="B7" t="s">
        <v>32</v>
      </c>
      <c r="C7" t="s">
        <v>38</v>
      </c>
      <c r="D7" s="1">
        <f t="shared" ref="D7:E7" si="5">SUM(F7,H7)</f>
        <v>9</v>
      </c>
      <c r="E7" s="1">
        <f t="shared" si="5"/>
        <v>8</v>
      </c>
      <c r="F7" s="1">
        <v>8</v>
      </c>
      <c r="G7" s="1">
        <v>6</v>
      </c>
      <c r="H7" s="1">
        <v>1</v>
      </c>
      <c r="I7" s="1">
        <v>2</v>
      </c>
      <c r="J7" s="1">
        <v>0</v>
      </c>
      <c r="K7" s="1">
        <v>1</v>
      </c>
      <c r="L7" s="1">
        <f t="shared" si="4"/>
        <v>1744.5900000000001</v>
      </c>
      <c r="M7" s="1">
        <f>105.55+117.67+108.4+95.39+136.87+91.26+120.19+100.23+87.65+76.11+89.39+115.49+116.97+85.88</f>
        <v>1447.0500000000002</v>
      </c>
      <c r="N7" s="1">
        <f>92.15+109.78+95.61</f>
        <v>297.54000000000002</v>
      </c>
      <c r="O7" s="1">
        <v>136.87</v>
      </c>
      <c r="P7" s="1">
        <v>76.11</v>
      </c>
      <c r="Q7" s="1">
        <v>109.78</v>
      </c>
      <c r="R7" s="1">
        <v>92.15</v>
      </c>
    </row>
    <row r="8" spans="1:25" x14ac:dyDescent="0.2">
      <c r="A8" s="1">
        <v>7</v>
      </c>
      <c r="B8" t="s">
        <v>74</v>
      </c>
      <c r="C8" t="s">
        <v>76</v>
      </c>
      <c r="D8" s="1">
        <f t="shared" ref="D8:E9" si="6">SUM(F8,H8)</f>
        <v>9</v>
      </c>
      <c r="E8" s="1">
        <f t="shared" si="6"/>
        <v>8</v>
      </c>
      <c r="F8" s="1">
        <v>8</v>
      </c>
      <c r="G8" s="1">
        <v>6</v>
      </c>
      <c r="H8" s="1">
        <v>1</v>
      </c>
      <c r="I8" s="1">
        <v>2</v>
      </c>
      <c r="J8" s="1">
        <v>0</v>
      </c>
      <c r="K8" s="1">
        <v>1</v>
      </c>
      <c r="L8" s="1">
        <f t="shared" si="4"/>
        <v>1484.21</v>
      </c>
      <c r="M8" s="1">
        <f>86.31+111.89+92.94+105.73+78.77+104.22+63.18+35.76+106.09+92.09+107.25+95.2+62.7+71.56</f>
        <v>1213.69</v>
      </c>
      <c r="N8" s="1">
        <f>60.89+87.7+121.93</f>
        <v>270.52</v>
      </c>
      <c r="O8" s="1">
        <v>111.89</v>
      </c>
      <c r="P8" s="1">
        <v>35.76</v>
      </c>
      <c r="Q8" s="1">
        <v>121.93</v>
      </c>
      <c r="R8" s="1">
        <v>60.89</v>
      </c>
    </row>
    <row r="9" spans="1:25" x14ac:dyDescent="0.2">
      <c r="A9" s="1">
        <v>8</v>
      </c>
      <c r="B9" t="s">
        <v>133</v>
      </c>
      <c r="C9" t="s">
        <v>134</v>
      </c>
      <c r="D9" s="1">
        <f t="shared" si="6"/>
        <v>6</v>
      </c>
      <c r="E9" s="1">
        <f t="shared" si="6"/>
        <v>11</v>
      </c>
      <c r="F9" s="1">
        <v>6</v>
      </c>
      <c r="G9" s="1">
        <v>8</v>
      </c>
      <c r="H9" s="1">
        <v>0</v>
      </c>
      <c r="I9" s="1">
        <v>3</v>
      </c>
      <c r="J9" s="1">
        <v>0</v>
      </c>
      <c r="K9" s="1">
        <v>1</v>
      </c>
      <c r="L9" s="1">
        <f t="shared" si="4"/>
        <v>1393.38</v>
      </c>
      <c r="M9" s="1">
        <f>82.59+115.66+86.96+109.37+98.98+88.11+55.29+91.1+78.97+63.63+78.36+61.57+84.19+105.72</f>
        <v>1200.5</v>
      </c>
      <c r="N9" s="1">
        <f>60.12+43.02+89.74</f>
        <v>192.88</v>
      </c>
      <c r="O9" s="1">
        <v>115.66</v>
      </c>
      <c r="P9" s="1">
        <v>55.29</v>
      </c>
      <c r="Q9" s="1">
        <v>89.74</v>
      </c>
      <c r="R9" s="1">
        <v>43.02</v>
      </c>
    </row>
    <row r="10" spans="1:25" x14ac:dyDescent="0.2">
      <c r="A10" s="1">
        <v>9</v>
      </c>
      <c r="B10" t="s">
        <v>125</v>
      </c>
      <c r="C10" t="s">
        <v>40</v>
      </c>
      <c r="D10" s="1">
        <f t="shared" ref="D10:E10" si="7">SUM(F10,H10)</f>
        <v>5</v>
      </c>
      <c r="E10" s="1">
        <f t="shared" si="7"/>
        <v>9</v>
      </c>
      <c r="F10" s="1">
        <v>5</v>
      </c>
      <c r="G10" s="1">
        <v>9</v>
      </c>
      <c r="H10" s="1" t="s">
        <v>27</v>
      </c>
      <c r="I10" s="1" t="s">
        <v>27</v>
      </c>
      <c r="J10" s="1">
        <v>0</v>
      </c>
      <c r="K10" s="1">
        <v>1</v>
      </c>
      <c r="L10" s="1">
        <f t="shared" si="4"/>
        <v>1200.48</v>
      </c>
      <c r="M10" s="1">
        <f>121.99+83.76+79.05+87.08+81.25+62.12+103+66.19+97.31+73.6+63.14+94.34+106.35+81.3</f>
        <v>1200.48</v>
      </c>
      <c r="N10" s="1" t="s">
        <v>27</v>
      </c>
      <c r="O10" s="1">
        <v>121.99</v>
      </c>
      <c r="P10" s="1">
        <v>62.12</v>
      </c>
      <c r="Q10" s="1" t="s">
        <v>27</v>
      </c>
      <c r="R10" s="1" t="s">
        <v>27</v>
      </c>
    </row>
    <row r="11" spans="1:25" x14ac:dyDescent="0.2">
      <c r="A11" s="1">
        <v>10</v>
      </c>
      <c r="B11" t="s">
        <v>114</v>
      </c>
      <c r="C11" t="s">
        <v>112</v>
      </c>
      <c r="D11" s="1">
        <f t="shared" ref="D11:E11" si="8">SUM(F11,H11)</f>
        <v>4</v>
      </c>
      <c r="E11" s="1">
        <f t="shared" si="8"/>
        <v>10</v>
      </c>
      <c r="F11" s="1">
        <v>4</v>
      </c>
      <c r="G11" s="1">
        <v>10</v>
      </c>
      <c r="H11" s="1" t="s">
        <v>27</v>
      </c>
      <c r="I11" s="1" t="s">
        <v>27</v>
      </c>
      <c r="J11" s="1">
        <v>0</v>
      </c>
      <c r="K11" s="1">
        <v>1</v>
      </c>
      <c r="L11" s="1">
        <f t="shared" ref="L11" si="9">SUM(M11:N11)</f>
        <v>1116.0999999999999</v>
      </c>
      <c r="M11" s="1">
        <f>50.66+116.91+66.56+83.46+94.82+74.68+93.01+75.6+68.38+76.67+45.45+81.52+91.75+96.63</f>
        <v>1116.0999999999999</v>
      </c>
      <c r="N11" s="1" t="s">
        <v>27</v>
      </c>
      <c r="O11" s="1">
        <v>116.91</v>
      </c>
      <c r="P11" s="1">
        <v>45.45</v>
      </c>
      <c r="Q11" s="1" t="s">
        <v>27</v>
      </c>
      <c r="R11" s="1" t="s">
        <v>27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32</v>
      </c>
      <c r="C2" t="s">
        <v>38</v>
      </c>
      <c r="D2" s="1">
        <f t="shared" ref="D2:E2" si="0">SUM(F2,H2)</f>
        <v>8</v>
      </c>
      <c r="E2" s="1">
        <f t="shared" si="0"/>
        <v>9</v>
      </c>
      <c r="F2" s="1">
        <v>5</v>
      </c>
      <c r="G2" s="1">
        <v>9</v>
      </c>
      <c r="H2" s="1">
        <v>3</v>
      </c>
      <c r="I2" s="1">
        <v>0</v>
      </c>
      <c r="J2" s="1">
        <v>1</v>
      </c>
      <c r="K2" s="1">
        <v>0</v>
      </c>
      <c r="L2" s="1">
        <f>SUM(M2:N2)</f>
        <v>1419.9299999999998</v>
      </c>
      <c r="M2" s="1">
        <f>78.02+118.19+85.9+51.08+85.7+52.49+71.75+75.96+89.8+83.21+75.08+95.31+93.79+63.28</f>
        <v>1119.56</v>
      </c>
      <c r="N2" s="1">
        <f>110.33+99.47+90.57</f>
        <v>300.37</v>
      </c>
      <c r="O2" s="1">
        <v>118.19</v>
      </c>
      <c r="P2" s="1">
        <v>51.08</v>
      </c>
      <c r="Q2" s="1">
        <v>110.33</v>
      </c>
      <c r="R2" s="1">
        <v>90.57</v>
      </c>
    </row>
    <row r="3" spans="1:25" x14ac:dyDescent="0.2">
      <c r="A3" s="1">
        <v>2</v>
      </c>
      <c r="B3" t="s">
        <v>50</v>
      </c>
      <c r="C3" t="s">
        <v>15</v>
      </c>
      <c r="D3" s="1">
        <f>SUM(F3,H3)</f>
        <v>7</v>
      </c>
      <c r="E3" s="1">
        <f>SUM(G3,I3)</f>
        <v>10</v>
      </c>
      <c r="F3" s="1">
        <v>5</v>
      </c>
      <c r="G3" s="1">
        <v>9</v>
      </c>
      <c r="H3" s="1">
        <v>2</v>
      </c>
      <c r="I3" s="1">
        <v>1</v>
      </c>
      <c r="J3" s="1">
        <v>0</v>
      </c>
      <c r="K3" s="1">
        <v>1</v>
      </c>
      <c r="L3" s="1">
        <f t="shared" ref="L3:L7" si="1">SUM(M3:N3)</f>
        <v>1509.05</v>
      </c>
      <c r="M3" s="1">
        <f>72.4+98.29+102.74+63.25+77.34+88.31+83.94+87.49+74.92+134.88+108.41+73.64+77.71+86.46</f>
        <v>1229.78</v>
      </c>
      <c r="N3" s="1">
        <f>105.83+92.68+80.76</f>
        <v>279.27</v>
      </c>
      <c r="O3" s="1">
        <v>134.88</v>
      </c>
      <c r="P3" s="1">
        <v>63.25</v>
      </c>
      <c r="Q3" s="1">
        <v>105.83</v>
      </c>
      <c r="R3" s="1">
        <v>80.760000000000005</v>
      </c>
    </row>
    <row r="4" spans="1:25" x14ac:dyDescent="0.2">
      <c r="A4" s="1">
        <v>3</v>
      </c>
      <c r="B4" t="s">
        <v>127</v>
      </c>
      <c r="C4" t="s">
        <v>77</v>
      </c>
      <c r="D4" s="1">
        <f t="shared" ref="D4:E4" si="2">SUM(F4,H4)</f>
        <v>8</v>
      </c>
      <c r="E4" s="1">
        <f t="shared" si="2"/>
        <v>9</v>
      </c>
      <c r="F4" s="1">
        <v>6</v>
      </c>
      <c r="G4" s="1">
        <v>8</v>
      </c>
      <c r="H4" s="1">
        <v>2</v>
      </c>
      <c r="I4" s="1">
        <v>1</v>
      </c>
      <c r="J4" s="1">
        <v>0</v>
      </c>
      <c r="K4" s="1">
        <v>1</v>
      </c>
      <c r="L4" s="1">
        <f>SUM(M4:N4)</f>
        <v>1602.73</v>
      </c>
      <c r="M4" s="1">
        <f>89.34+105.37+77.68+82.92+94.58+90.51+103.48+74.76+103.96+117.08+76.42+95.97+68.01+119.18</f>
        <v>1299.26</v>
      </c>
      <c r="N4" s="1">
        <f>104.81+86.78+111.88</f>
        <v>303.47000000000003</v>
      </c>
      <c r="O4" s="1">
        <v>119.18</v>
      </c>
      <c r="P4" s="1">
        <v>68.010000000000005</v>
      </c>
      <c r="Q4" s="1">
        <v>111.88</v>
      </c>
      <c r="R4" s="1">
        <v>86.78</v>
      </c>
    </row>
    <row r="5" spans="1:25" x14ac:dyDescent="0.2">
      <c r="A5" s="1">
        <v>4</v>
      </c>
      <c r="B5" t="s">
        <v>45</v>
      </c>
      <c r="C5" t="s">
        <v>13</v>
      </c>
      <c r="D5" s="1">
        <f>SUM(F5,H5)</f>
        <v>8</v>
      </c>
      <c r="E5" s="1">
        <f>SUM(G5,I5)</f>
        <v>9</v>
      </c>
      <c r="F5" s="1">
        <v>7</v>
      </c>
      <c r="G5" s="1">
        <v>7</v>
      </c>
      <c r="H5" s="1">
        <v>1</v>
      </c>
      <c r="I5" s="1">
        <v>2</v>
      </c>
      <c r="J5" s="1">
        <v>0</v>
      </c>
      <c r="K5" s="1">
        <v>1</v>
      </c>
      <c r="L5" s="1">
        <f t="shared" si="1"/>
        <v>1547.21</v>
      </c>
      <c r="M5" s="1">
        <f>94.06+95.33+90.58+80.19+110.08+63.1+109.39+106.03+81.91+96.09+84.86+73.74+62.89+121.43</f>
        <v>1269.68</v>
      </c>
      <c r="N5" s="1">
        <f>108.74+87.04+81.75</f>
        <v>277.52999999999997</v>
      </c>
      <c r="O5" s="1">
        <v>121.43</v>
      </c>
      <c r="P5" s="1">
        <v>62.89</v>
      </c>
      <c r="Q5" s="1">
        <v>108.74</v>
      </c>
      <c r="R5" s="1">
        <v>81.75</v>
      </c>
    </row>
    <row r="6" spans="1:25" x14ac:dyDescent="0.2">
      <c r="A6" s="1">
        <v>5</v>
      </c>
      <c r="B6" t="s">
        <v>16</v>
      </c>
      <c r="C6" t="s">
        <v>17</v>
      </c>
      <c r="D6" s="1">
        <f>SUM(F6,H6)</f>
        <v>14</v>
      </c>
      <c r="E6" s="1">
        <f>SUM(G6,I6)</f>
        <v>3</v>
      </c>
      <c r="F6" s="1">
        <v>12</v>
      </c>
      <c r="G6" s="1">
        <v>2</v>
      </c>
      <c r="H6" s="1">
        <v>2</v>
      </c>
      <c r="I6" s="1">
        <v>1</v>
      </c>
      <c r="J6" s="1">
        <v>0</v>
      </c>
      <c r="K6" s="1">
        <v>1</v>
      </c>
      <c r="L6" s="1">
        <f t="shared" si="1"/>
        <v>1718.5700000000002</v>
      </c>
      <c r="M6" s="1">
        <f>130.36+85.76+98.63+110.87+42.72+115.34+120.5+97.66+114.84+85.12+115.59+98.42+149.91+89.45</f>
        <v>1455.1700000000003</v>
      </c>
      <c r="N6" s="1">
        <f>68.66+87.68+107.06</f>
        <v>263.39999999999998</v>
      </c>
      <c r="O6" s="1">
        <v>149.91</v>
      </c>
      <c r="P6" s="1">
        <v>42.72</v>
      </c>
      <c r="Q6" s="1">
        <v>107.06</v>
      </c>
      <c r="R6" s="1">
        <v>68.66</v>
      </c>
    </row>
    <row r="7" spans="1:25" x14ac:dyDescent="0.2">
      <c r="A7" s="1">
        <v>6</v>
      </c>
      <c r="B7" t="s">
        <v>125</v>
      </c>
      <c r="C7" t="s">
        <v>40</v>
      </c>
      <c r="D7" s="1">
        <f t="shared" ref="D7:E7" si="3">SUM(F7,H7)</f>
        <v>9</v>
      </c>
      <c r="E7" s="1">
        <f t="shared" si="3"/>
        <v>8</v>
      </c>
      <c r="F7" s="1">
        <v>8</v>
      </c>
      <c r="G7" s="1">
        <v>6</v>
      </c>
      <c r="H7" s="1">
        <v>1</v>
      </c>
      <c r="I7" s="1">
        <v>2</v>
      </c>
      <c r="J7" s="1">
        <v>0</v>
      </c>
      <c r="K7" s="1">
        <v>1</v>
      </c>
      <c r="L7" s="1">
        <f t="shared" si="1"/>
        <v>1550.9899999999998</v>
      </c>
      <c r="M7" s="1">
        <f>99.76+84.93+82.98+53.87+98.94+71.24+79.38+51.96+97.52+72.16+132.98+90.52+134.28+113.87</f>
        <v>1264.3899999999999</v>
      </c>
      <c r="N7" s="1">
        <f>92.57+108.57+85.46</f>
        <v>286.59999999999997</v>
      </c>
      <c r="O7" s="1">
        <v>134.28</v>
      </c>
      <c r="P7" s="1">
        <v>51.96</v>
      </c>
      <c r="Q7" s="1">
        <v>108.57</v>
      </c>
      <c r="R7" s="1">
        <v>85.46</v>
      </c>
    </row>
    <row r="8" spans="1:25" x14ac:dyDescent="0.2">
      <c r="A8" s="1">
        <v>7</v>
      </c>
      <c r="B8" t="s">
        <v>130</v>
      </c>
      <c r="C8" t="s">
        <v>61</v>
      </c>
      <c r="D8" s="1">
        <f t="shared" ref="D8:E8" si="4">SUM(F8,H8)</f>
        <v>10</v>
      </c>
      <c r="E8" s="1">
        <f t="shared" si="4"/>
        <v>7</v>
      </c>
      <c r="F8" s="1">
        <v>9</v>
      </c>
      <c r="G8" s="1">
        <v>5</v>
      </c>
      <c r="H8" s="1">
        <v>1</v>
      </c>
      <c r="I8" s="1">
        <v>2</v>
      </c>
      <c r="J8" s="1">
        <v>0</v>
      </c>
      <c r="K8" s="1">
        <v>1</v>
      </c>
      <c r="L8" s="1">
        <f t="shared" ref="L8" si="5">SUM(M8:N8)</f>
        <v>1377.1200000000001</v>
      </c>
      <c r="M8" s="1">
        <f>60.67+81.79+96.53+82.06+80.93+96.15+91.6+40.82+114.16+91.29+114.64+98.4+101.21+43.4</f>
        <v>1193.6500000000001</v>
      </c>
      <c r="N8" s="1">
        <f>66.86+47.75+68.86</f>
        <v>183.47</v>
      </c>
      <c r="O8" s="1">
        <v>114.64</v>
      </c>
      <c r="P8" s="1">
        <v>40.82</v>
      </c>
      <c r="Q8" s="1">
        <v>68.86</v>
      </c>
      <c r="R8" s="1">
        <v>47.75</v>
      </c>
    </row>
    <row r="9" spans="1:25" x14ac:dyDescent="0.2">
      <c r="A9" s="1">
        <v>8</v>
      </c>
      <c r="B9" t="s">
        <v>109</v>
      </c>
      <c r="C9" t="s">
        <v>19</v>
      </c>
      <c r="D9" s="1">
        <f>SUM(F9,H9)</f>
        <v>8</v>
      </c>
      <c r="E9" s="1">
        <f>SUM(G9,I9)</f>
        <v>9</v>
      </c>
      <c r="F9" s="1">
        <v>8</v>
      </c>
      <c r="G9" s="1">
        <v>6</v>
      </c>
      <c r="H9" s="1">
        <v>0</v>
      </c>
      <c r="I9" s="1">
        <v>3</v>
      </c>
      <c r="J9" s="1">
        <v>0</v>
      </c>
      <c r="K9" s="1">
        <v>1</v>
      </c>
      <c r="L9" s="1">
        <f>SUM(M9:N9)</f>
        <v>1348.5100000000002</v>
      </c>
      <c r="M9" s="1">
        <f>53.73+88.42+54.74+85.67+104.64+92.53+55.57+96.54+74.23+113.07+95.53+114.04+70.5+42.63</f>
        <v>1141.8400000000001</v>
      </c>
      <c r="N9" s="1">
        <f>70.09+78.78+57.8</f>
        <v>206.67000000000002</v>
      </c>
      <c r="O9" s="1">
        <v>114.04</v>
      </c>
      <c r="P9" s="1">
        <v>42.63</v>
      </c>
      <c r="Q9" s="1">
        <v>78.78</v>
      </c>
      <c r="R9" s="1">
        <v>57.8</v>
      </c>
    </row>
    <row r="10" spans="1:25" x14ac:dyDescent="0.2">
      <c r="A10" s="1">
        <v>9</v>
      </c>
      <c r="B10" t="s">
        <v>114</v>
      </c>
      <c r="C10" t="s">
        <v>112</v>
      </c>
      <c r="D10" s="1">
        <f t="shared" ref="D10:E10" si="6">SUM(F10,H10)</f>
        <v>5</v>
      </c>
      <c r="E10" s="1">
        <f t="shared" si="6"/>
        <v>9</v>
      </c>
      <c r="F10" s="1">
        <v>5</v>
      </c>
      <c r="G10" s="1">
        <v>9</v>
      </c>
      <c r="H10" s="1" t="s">
        <v>27</v>
      </c>
      <c r="I10" s="1" t="s">
        <v>27</v>
      </c>
      <c r="J10" s="1">
        <v>0</v>
      </c>
      <c r="K10" s="1">
        <v>1</v>
      </c>
      <c r="L10" s="1">
        <f t="shared" ref="L10" si="7">SUM(M10:N10)</f>
        <v>1085.78</v>
      </c>
      <c r="M10" s="1">
        <f>46.21+74.68+96.45+95.95+72.76+62.62+58.48+98.11+97.93+67.51+81.26+69.12+99.15+65.55</f>
        <v>1085.78</v>
      </c>
      <c r="N10" s="1" t="s">
        <v>27</v>
      </c>
      <c r="O10" s="1">
        <v>99.15</v>
      </c>
      <c r="P10" s="1">
        <v>46.21</v>
      </c>
      <c r="Q10" s="1" t="s">
        <v>27</v>
      </c>
      <c r="R10" s="1" t="s">
        <v>27</v>
      </c>
    </row>
    <row r="11" spans="1:25" x14ac:dyDescent="0.2">
      <c r="A11" s="1">
        <v>10</v>
      </c>
      <c r="B11" t="s">
        <v>74</v>
      </c>
      <c r="C11" t="s">
        <v>76</v>
      </c>
      <c r="D11" s="1">
        <f t="shared" ref="D11:E11" si="8">SUM(F11,H11)</f>
        <v>5</v>
      </c>
      <c r="E11" s="1">
        <f t="shared" si="8"/>
        <v>9</v>
      </c>
      <c r="F11" s="1">
        <v>5</v>
      </c>
      <c r="G11" s="1">
        <v>9</v>
      </c>
      <c r="H11" s="1" t="s">
        <v>27</v>
      </c>
      <c r="I11" s="1" t="s">
        <v>27</v>
      </c>
      <c r="J11" s="1">
        <v>0</v>
      </c>
      <c r="K11" s="1">
        <v>1</v>
      </c>
      <c r="L11" s="1">
        <f t="shared" ref="L11" si="9">SUM(M11:N11)</f>
        <v>1032.1100000000001</v>
      </c>
      <c r="M11" s="1">
        <f>54.42+36.48+107.07+51.46+109.98+82.33+98.82+68.24+96.71+50.52+91.96+63.7+49.87+70.55</f>
        <v>1032.1100000000001</v>
      </c>
      <c r="N11" s="1" t="s">
        <v>27</v>
      </c>
      <c r="O11" s="1">
        <v>109.98</v>
      </c>
      <c r="P11" s="1">
        <v>49.87</v>
      </c>
      <c r="Q11" s="1" t="s">
        <v>27</v>
      </c>
      <c r="R11" s="1" t="s">
        <v>27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5.5703125" style="1" bestFit="1" customWidth="1"/>
    <col min="2" max="2" width="23" bestFit="1" customWidth="1"/>
    <col min="3" max="3" width="12.28515625" bestFit="1" customWidth="1"/>
    <col min="4" max="12" width="9.140625" style="1"/>
    <col min="13" max="13" width="10.28515625" style="1" bestFit="1" customWidth="1"/>
    <col min="14" max="14" width="9.140625" style="1"/>
    <col min="15" max="15" width="11.85546875" style="1" bestFit="1" customWidth="1"/>
    <col min="16" max="16" width="11.5703125" style="1" bestFit="1" customWidth="1"/>
    <col min="17" max="17" width="11.7109375" bestFit="1" customWidth="1"/>
    <col min="18" max="18" width="11.42578125" bestFit="1" customWidth="1"/>
  </cols>
  <sheetData>
    <row r="1" spans="1:25" ht="13.5" thickBot="1" x14ac:dyDescent="0.25">
      <c r="A1" s="2" t="s">
        <v>20</v>
      </c>
      <c r="B1" s="2" t="s">
        <v>0</v>
      </c>
      <c r="C1" s="2" t="s">
        <v>8</v>
      </c>
      <c r="D1" s="2" t="s">
        <v>2</v>
      </c>
      <c r="E1" s="2" t="s">
        <v>1</v>
      </c>
      <c r="F1" s="2" t="s">
        <v>24</v>
      </c>
      <c r="G1" s="2" t="s">
        <v>25</v>
      </c>
      <c r="H1" s="2" t="s">
        <v>5</v>
      </c>
      <c r="I1" s="2" t="s">
        <v>3</v>
      </c>
      <c r="J1" s="2" t="s">
        <v>4</v>
      </c>
      <c r="K1" s="2" t="s">
        <v>6</v>
      </c>
      <c r="L1" s="2" t="s">
        <v>22</v>
      </c>
      <c r="M1" s="2" t="s">
        <v>21</v>
      </c>
      <c r="N1" s="2" t="s">
        <v>23</v>
      </c>
      <c r="O1" s="2" t="s">
        <v>26</v>
      </c>
      <c r="P1" s="2" t="s">
        <v>49</v>
      </c>
      <c r="Q1" s="2" t="s">
        <v>105</v>
      </c>
      <c r="R1" s="2" t="s">
        <v>106</v>
      </c>
      <c r="S1" s="1"/>
      <c r="T1" s="1"/>
      <c r="U1" s="1"/>
      <c r="V1" s="1"/>
      <c r="W1" s="1"/>
      <c r="X1" s="1"/>
      <c r="Y1" s="1"/>
    </row>
    <row r="2" spans="1:25" x14ac:dyDescent="0.2">
      <c r="A2" s="1">
        <v>1</v>
      </c>
      <c r="B2" t="s">
        <v>50</v>
      </c>
      <c r="C2" t="s">
        <v>15</v>
      </c>
      <c r="D2" s="1">
        <f t="shared" ref="D2:E6" si="0">SUM(F2,H2)</f>
        <v>11</v>
      </c>
      <c r="E2" s="1">
        <f t="shared" si="0"/>
        <v>6</v>
      </c>
      <c r="F2" s="1">
        <v>8</v>
      </c>
      <c r="G2" s="1">
        <v>6</v>
      </c>
      <c r="H2" s="1">
        <v>3</v>
      </c>
      <c r="I2" s="1">
        <v>0</v>
      </c>
      <c r="J2" s="1">
        <v>1</v>
      </c>
      <c r="K2" s="1">
        <v>0</v>
      </c>
      <c r="L2" s="1">
        <f>SUM(M2:N2)</f>
        <v>1671.67</v>
      </c>
      <c r="M2" s="1">
        <f>79.95+118.11+70.69+99.54+78.1+94.43+104.48+93.77+103.33+113.95+90.65+112.85+102.93+85.91</f>
        <v>1348.69</v>
      </c>
      <c r="N2" s="1">
        <f>100.02+123.36+99.6</f>
        <v>322.98</v>
      </c>
      <c r="O2" s="1">
        <v>118.11</v>
      </c>
      <c r="P2" s="1">
        <v>70.69</v>
      </c>
      <c r="Q2" s="1">
        <v>123.36</v>
      </c>
      <c r="R2" s="1">
        <v>99.6</v>
      </c>
    </row>
    <row r="3" spans="1:25" x14ac:dyDescent="0.2">
      <c r="A3" s="1">
        <v>2</v>
      </c>
      <c r="B3" t="s">
        <v>125</v>
      </c>
      <c r="C3" t="s">
        <v>40</v>
      </c>
      <c r="D3" s="1">
        <f t="shared" si="0"/>
        <v>12</v>
      </c>
      <c r="E3" s="1">
        <f t="shared" si="0"/>
        <v>5</v>
      </c>
      <c r="F3" s="1">
        <v>10</v>
      </c>
      <c r="G3" s="1">
        <v>4</v>
      </c>
      <c r="H3" s="1">
        <v>2</v>
      </c>
      <c r="I3" s="1">
        <v>1</v>
      </c>
      <c r="J3" s="1">
        <v>0</v>
      </c>
      <c r="K3" s="1">
        <v>1</v>
      </c>
      <c r="L3" s="1">
        <f>SUM(M3:N3)</f>
        <v>1593.3300000000002</v>
      </c>
      <c r="M3" s="1">
        <f>103.37+77.85+107.11+63.6+104.35+144.83+114.75+90.47+68.16+116.41+75.26+84.67+113.05+85.73</f>
        <v>1349.6100000000001</v>
      </c>
      <c r="N3" s="1">
        <f>80.37+92.27+71.08</f>
        <v>243.71999999999997</v>
      </c>
      <c r="O3" s="1">
        <v>144.83000000000001</v>
      </c>
      <c r="P3" s="1">
        <v>63.6</v>
      </c>
      <c r="Q3" s="1">
        <v>92.27</v>
      </c>
      <c r="R3" s="1">
        <v>71.08</v>
      </c>
    </row>
    <row r="4" spans="1:25" x14ac:dyDescent="0.2">
      <c r="A4" s="1">
        <v>3</v>
      </c>
      <c r="B4" t="s">
        <v>16</v>
      </c>
      <c r="C4" t="s">
        <v>17</v>
      </c>
      <c r="D4" s="1">
        <f t="shared" si="0"/>
        <v>15</v>
      </c>
      <c r="E4" s="1">
        <f t="shared" si="0"/>
        <v>2</v>
      </c>
      <c r="F4" s="1">
        <v>13</v>
      </c>
      <c r="G4" s="1">
        <v>1</v>
      </c>
      <c r="H4" s="1">
        <v>2</v>
      </c>
      <c r="I4" s="1">
        <v>1</v>
      </c>
      <c r="J4" s="1">
        <v>0</v>
      </c>
      <c r="K4" s="1">
        <v>1</v>
      </c>
      <c r="L4" s="1">
        <f>SUM(M4:N4)</f>
        <v>1885.45</v>
      </c>
      <c r="M4" s="1">
        <f>82.31+106.41+125.33+126.87+104.57+133.44+104.05+111.81+116.19+90.82+106.04+118.43+79.47+112.98</f>
        <v>1518.72</v>
      </c>
      <c r="N4" s="1">
        <f>152.98+82.9+130.85</f>
        <v>366.73</v>
      </c>
      <c r="O4" s="1">
        <v>133.44</v>
      </c>
      <c r="P4" s="1">
        <v>79.47</v>
      </c>
      <c r="Q4" s="1">
        <v>152.97999999999999</v>
      </c>
      <c r="R4" s="1">
        <v>82.9</v>
      </c>
    </row>
    <row r="5" spans="1:25" x14ac:dyDescent="0.2">
      <c r="A5" s="1">
        <v>4</v>
      </c>
      <c r="B5" t="s">
        <v>126</v>
      </c>
      <c r="C5" t="s">
        <v>61</v>
      </c>
      <c r="D5" s="1">
        <f t="shared" si="0"/>
        <v>12</v>
      </c>
      <c r="E5" s="1">
        <f t="shared" si="0"/>
        <v>5</v>
      </c>
      <c r="F5" s="1">
        <v>11</v>
      </c>
      <c r="G5" s="1">
        <v>3</v>
      </c>
      <c r="H5" s="1">
        <v>1</v>
      </c>
      <c r="I5" s="1">
        <v>2</v>
      </c>
      <c r="J5" s="1">
        <v>0</v>
      </c>
      <c r="K5" s="1">
        <v>1</v>
      </c>
      <c r="L5" s="1">
        <f>SUM(M5:N5)</f>
        <v>1727.87</v>
      </c>
      <c r="M5" s="1">
        <f>99.91+106.88+101.09+108.6+86.45+112.96+148.44+142.78+58.5+91.76+99.95+113.94+77.27+104.02</f>
        <v>1452.55</v>
      </c>
      <c r="N5" s="1">
        <f>87.74+76.66+110.92</f>
        <v>275.32</v>
      </c>
      <c r="O5" s="1">
        <v>148.44</v>
      </c>
      <c r="P5" s="1">
        <v>58.5</v>
      </c>
      <c r="Q5" s="1">
        <v>110.92</v>
      </c>
      <c r="R5" s="1">
        <v>76.66</v>
      </c>
    </row>
    <row r="6" spans="1:25" x14ac:dyDescent="0.2">
      <c r="A6" s="1">
        <v>5</v>
      </c>
      <c r="B6" t="s">
        <v>45</v>
      </c>
      <c r="C6" t="s">
        <v>13</v>
      </c>
      <c r="D6" s="1">
        <f t="shared" si="0"/>
        <v>7</v>
      </c>
      <c r="E6" s="1">
        <f t="shared" si="0"/>
        <v>10</v>
      </c>
      <c r="F6" s="1">
        <v>5</v>
      </c>
      <c r="G6" s="1">
        <v>9</v>
      </c>
      <c r="H6" s="1">
        <v>2</v>
      </c>
      <c r="I6" s="1">
        <v>1</v>
      </c>
      <c r="J6" s="1">
        <v>0</v>
      </c>
      <c r="K6" s="1">
        <v>1</v>
      </c>
      <c r="L6" s="1">
        <f>SUM(M6:N6)</f>
        <v>1497.97</v>
      </c>
      <c r="M6" s="1">
        <f>95.21+77.88+75.52+50.05+78.76+83.68+96.46+88.68+101.47+108.72+71.69+76.1+137.64+101.83</f>
        <v>1243.69</v>
      </c>
      <c r="N6" s="1">
        <f>75.08+94.44+84.76</f>
        <v>254.27999999999997</v>
      </c>
      <c r="O6" s="1">
        <v>137.63999999999999</v>
      </c>
      <c r="P6" s="1">
        <v>50.05</v>
      </c>
      <c r="Q6" s="1">
        <v>94.44</v>
      </c>
      <c r="R6" s="1">
        <v>75.09</v>
      </c>
    </row>
    <row r="7" spans="1:25" x14ac:dyDescent="0.2">
      <c r="A7" s="1">
        <v>6</v>
      </c>
      <c r="B7" t="s">
        <v>128</v>
      </c>
      <c r="C7" t="s">
        <v>129</v>
      </c>
      <c r="D7" s="1">
        <f t="shared" ref="D7:D13" si="1">SUM(F7,H7)</f>
        <v>8</v>
      </c>
      <c r="E7" s="1">
        <f t="shared" ref="E7:E13" si="2">SUM(G7,I7)</f>
        <v>9</v>
      </c>
      <c r="F7" s="1">
        <v>7</v>
      </c>
      <c r="G7" s="1">
        <v>7</v>
      </c>
      <c r="H7" s="1">
        <v>1</v>
      </c>
      <c r="I7" s="1">
        <v>2</v>
      </c>
      <c r="J7" s="1">
        <v>0</v>
      </c>
      <c r="K7" s="1">
        <v>1</v>
      </c>
      <c r="L7" s="1">
        <f t="shared" ref="L7:L13" si="3">SUM(M7:N7)</f>
        <v>1463.1999999999998</v>
      </c>
      <c r="M7" s="1">
        <f>98.63+95.34+69.91+50.42+64.99+83.13+90.19+96.1+90.3+128.65+93.28+68.32+91.98+78.8</f>
        <v>1200.04</v>
      </c>
      <c r="N7" s="1">
        <f>86.9+106.74+69.52</f>
        <v>263.15999999999997</v>
      </c>
      <c r="O7" s="1">
        <v>128.65</v>
      </c>
      <c r="P7" s="1">
        <v>50.42</v>
      </c>
      <c r="Q7" s="1">
        <v>106.74</v>
      </c>
      <c r="R7" s="1">
        <v>69.52</v>
      </c>
    </row>
    <row r="8" spans="1:25" x14ac:dyDescent="0.2">
      <c r="A8" s="1">
        <v>7</v>
      </c>
      <c r="B8" t="s">
        <v>32</v>
      </c>
      <c r="C8" t="s">
        <v>38</v>
      </c>
      <c r="D8" s="1">
        <f>SUM(F8,H8)</f>
        <v>6</v>
      </c>
      <c r="E8" s="1">
        <f>SUM(G8,I8)</f>
        <v>11</v>
      </c>
      <c r="F8" s="1">
        <v>5</v>
      </c>
      <c r="G8" s="1">
        <v>9</v>
      </c>
      <c r="H8" s="1">
        <v>1</v>
      </c>
      <c r="I8" s="1">
        <v>2</v>
      </c>
      <c r="J8" s="1">
        <v>0</v>
      </c>
      <c r="K8" s="1">
        <v>1</v>
      </c>
      <c r="L8" s="1">
        <f>SUM(M8:N8)</f>
        <v>1344.46</v>
      </c>
      <c r="M8" s="1">
        <f>71.68+83+82.12+64.82+89.06+92.59+87.18+56.12+76.38+63.34+80.43+103.78+89.49+99.11</f>
        <v>1139.0999999999999</v>
      </c>
      <c r="N8" s="1">
        <f>85.53+51.78+68.05</f>
        <v>205.36</v>
      </c>
      <c r="O8" s="1">
        <v>103.78</v>
      </c>
      <c r="P8" s="1">
        <v>56.12</v>
      </c>
      <c r="Q8" s="1">
        <v>85.53</v>
      </c>
      <c r="R8" s="1">
        <v>51.78</v>
      </c>
    </row>
    <row r="9" spans="1:25" x14ac:dyDescent="0.2">
      <c r="A9" s="1">
        <v>8</v>
      </c>
      <c r="B9" t="s">
        <v>127</v>
      </c>
      <c r="C9" t="s">
        <v>77</v>
      </c>
      <c r="D9" s="1">
        <f>SUM(F9,H9)</f>
        <v>6</v>
      </c>
      <c r="E9" s="1">
        <f>SUM(G9,I9)</f>
        <v>11</v>
      </c>
      <c r="F9" s="1">
        <v>6</v>
      </c>
      <c r="G9" s="1">
        <v>8</v>
      </c>
      <c r="H9" s="1">
        <v>0</v>
      </c>
      <c r="I9" s="1">
        <v>3</v>
      </c>
      <c r="J9" s="1">
        <v>0</v>
      </c>
      <c r="K9" s="1">
        <v>1</v>
      </c>
      <c r="L9" s="1">
        <f>SUM(M9:N9)</f>
        <v>1427.6599999999999</v>
      </c>
      <c r="M9" s="1">
        <f>72.71+73.76+89.17+121.16+97.93+53.39+78.99+104.05+105.27+80.13+115.06+77.79+73.46+66.93</f>
        <v>1209.8</v>
      </c>
      <c r="N9" s="1">
        <f>78.37+72.02+67.47</f>
        <v>217.85999999999999</v>
      </c>
      <c r="O9" s="1">
        <v>121.16</v>
      </c>
      <c r="P9" s="1">
        <v>53.39</v>
      </c>
      <c r="Q9" s="1">
        <v>78.37</v>
      </c>
      <c r="R9" s="1">
        <v>67.47</v>
      </c>
    </row>
    <row r="10" spans="1:25" x14ac:dyDescent="0.2">
      <c r="A10" s="1">
        <v>9</v>
      </c>
      <c r="B10" t="s">
        <v>74</v>
      </c>
      <c r="C10" t="s">
        <v>76</v>
      </c>
      <c r="D10" s="1">
        <f t="shared" si="1"/>
        <v>5</v>
      </c>
      <c r="E10" s="1">
        <f t="shared" si="2"/>
        <v>9</v>
      </c>
      <c r="F10" s="1">
        <v>5</v>
      </c>
      <c r="G10" s="1">
        <v>9</v>
      </c>
      <c r="H10" s="1" t="s">
        <v>27</v>
      </c>
      <c r="I10" s="1" t="s">
        <v>27</v>
      </c>
      <c r="J10" s="1">
        <v>0</v>
      </c>
      <c r="K10" s="1">
        <v>1</v>
      </c>
      <c r="L10" s="1">
        <f t="shared" si="3"/>
        <v>1130.49</v>
      </c>
      <c r="M10" s="1">
        <f>85.89+99.81+68.3+57.93+88.2+89.38+82.97+112.06+78.77+53.28+106.28+43.29+71.42+92.91</f>
        <v>1130.49</v>
      </c>
      <c r="N10" s="1" t="s">
        <v>27</v>
      </c>
      <c r="O10" s="1">
        <v>112.06</v>
      </c>
      <c r="P10" s="1">
        <v>43.29</v>
      </c>
      <c r="Q10" s="1" t="s">
        <v>27</v>
      </c>
      <c r="R10" s="1" t="s">
        <v>27</v>
      </c>
    </row>
    <row r="11" spans="1:25" x14ac:dyDescent="0.2">
      <c r="A11" s="1">
        <v>10</v>
      </c>
      <c r="B11" t="s">
        <v>113</v>
      </c>
      <c r="C11" t="s">
        <v>111</v>
      </c>
      <c r="D11" s="1">
        <f t="shared" si="1"/>
        <v>5</v>
      </c>
      <c r="E11" s="1">
        <f t="shared" si="2"/>
        <v>9</v>
      </c>
      <c r="F11" s="1">
        <v>5</v>
      </c>
      <c r="G11" s="1">
        <v>9</v>
      </c>
      <c r="H11" s="1" t="s">
        <v>27</v>
      </c>
      <c r="I11" s="1" t="s">
        <v>27</v>
      </c>
      <c r="J11" s="1">
        <v>0</v>
      </c>
      <c r="K11" s="1">
        <v>1</v>
      </c>
      <c r="L11" s="1">
        <f t="shared" si="3"/>
        <v>1119.25</v>
      </c>
      <c r="M11" s="1">
        <f>79.98+44.86+82.01+64.01+99.37+108.19+83.88+74.87+98.36+76.43+64.29+90.28+59.16+93.56</f>
        <v>1119.25</v>
      </c>
      <c r="N11" s="1" t="s">
        <v>27</v>
      </c>
      <c r="O11" s="1">
        <v>108.19</v>
      </c>
      <c r="P11" s="1">
        <v>44.86</v>
      </c>
      <c r="Q11" s="1" t="s">
        <v>27</v>
      </c>
      <c r="R11" s="1" t="s">
        <v>27</v>
      </c>
    </row>
    <row r="12" spans="1:25" x14ac:dyDescent="0.2">
      <c r="A12" s="1">
        <v>11</v>
      </c>
      <c r="B12" t="s">
        <v>114</v>
      </c>
      <c r="C12" t="s">
        <v>112</v>
      </c>
      <c r="D12" s="1">
        <f t="shared" si="1"/>
        <v>5</v>
      </c>
      <c r="E12" s="1">
        <f t="shared" si="2"/>
        <v>9</v>
      </c>
      <c r="F12" s="1">
        <v>5</v>
      </c>
      <c r="G12" s="1">
        <v>9</v>
      </c>
      <c r="H12" s="1" t="s">
        <v>27</v>
      </c>
      <c r="I12" s="1" t="s">
        <v>27</v>
      </c>
      <c r="J12" s="1">
        <v>0</v>
      </c>
      <c r="K12" s="1">
        <v>1</v>
      </c>
      <c r="L12" s="1">
        <f t="shared" si="3"/>
        <v>1105.7</v>
      </c>
      <c r="M12" s="1">
        <f>104.79+62.9+81.2+86.21+90.16+77.49+74.37+57.82+62.3+65.78+66.27+65.83+91.23+119.35</f>
        <v>1105.7</v>
      </c>
      <c r="N12" s="1" t="s">
        <v>27</v>
      </c>
      <c r="O12" s="1">
        <v>119.35</v>
      </c>
      <c r="P12" s="1">
        <v>57.82</v>
      </c>
      <c r="Q12" s="1" t="s">
        <v>27</v>
      </c>
      <c r="R12" s="1" t="s">
        <v>27</v>
      </c>
    </row>
    <row r="13" spans="1:25" x14ac:dyDescent="0.2">
      <c r="A13" s="1">
        <v>12</v>
      </c>
      <c r="B13" t="s">
        <v>109</v>
      </c>
      <c r="C13" t="s">
        <v>19</v>
      </c>
      <c r="D13" s="1">
        <f t="shared" si="1"/>
        <v>4</v>
      </c>
      <c r="E13" s="1">
        <f t="shared" si="2"/>
        <v>10</v>
      </c>
      <c r="F13" s="1">
        <v>4</v>
      </c>
      <c r="G13" s="1">
        <v>10</v>
      </c>
      <c r="H13" s="1" t="s">
        <v>27</v>
      </c>
      <c r="I13" s="1" t="s">
        <v>27</v>
      </c>
      <c r="J13" s="1">
        <v>0</v>
      </c>
      <c r="K13" s="1">
        <v>1</v>
      </c>
      <c r="L13" s="1">
        <f t="shared" si="3"/>
        <v>1109.57</v>
      </c>
      <c r="M13" s="1">
        <f>98.61+91.12+64.35+57.8+47.7+142.63+79.52+72.11+79.81+51.04+56.67+117.64+82.31+68.26</f>
        <v>1109.57</v>
      </c>
      <c r="N13" s="1" t="s">
        <v>27</v>
      </c>
      <c r="O13" s="1">
        <v>142.63</v>
      </c>
      <c r="P13" s="1">
        <v>47.7</v>
      </c>
      <c r="Q13" s="1" t="s">
        <v>27</v>
      </c>
      <c r="R13" s="1" t="s">
        <v>27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League Records</vt:lpstr>
      <vt:lpstr>League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</vt:vector>
  </TitlesOfParts>
  <Company>A.E.K.D.B.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L. Patch</dc:creator>
  <cp:lastModifiedBy>Richard</cp:lastModifiedBy>
  <cp:lastPrinted>2007-12-14T05:15:13Z</cp:lastPrinted>
  <dcterms:created xsi:type="dcterms:W3CDTF">2007-09-17T00:09:08Z</dcterms:created>
  <dcterms:modified xsi:type="dcterms:W3CDTF">2016-01-02T00:52:39Z</dcterms:modified>
</cp:coreProperties>
</file>